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mc:AlternateContent xmlns:mc="http://schemas.openxmlformats.org/markup-compatibility/2006">
    <mc:Choice Requires="x15">
      <x15ac:absPath xmlns:x15ac="http://schemas.microsoft.com/office/spreadsheetml/2010/11/ac" url="https://d.docs.live.net/88956d18e2cb9dfa/Rotary/Lot_Solidari_2024/"/>
    </mc:Choice>
  </mc:AlternateContent>
  <xr:revisionPtr revIDLastSave="0" documentId="8_{6051A0F1-3619-EC48-A2BA-B19E7D740B19}" xr6:coauthVersionLast="47" xr6:coauthVersionMax="47" xr10:uidLastSave="{00000000-0000-0000-0000-000000000000}"/>
  <bookViews>
    <workbookView xWindow="0" yWindow="500" windowWidth="28800" windowHeight="16120" xr2:uid="{40A76053-F076-B348-AF47-3F12D04F4C92}"/>
  </bookViews>
  <sheets>
    <sheet name="Portada" sheetId="5" r:id="rId1"/>
    <sheet name="Comanda" sheetId="2" r:id="rId2"/>
    <sheet name="Pedido" sheetId="6" r:id="rId3"/>
    <sheet name="Pressupost" sheetId="10" state="hidden" r:id="rId4"/>
    <sheet name="Ports" sheetId="3" state="hidden" r:id="rId5"/>
  </sheets>
  <definedNames>
    <definedName name="_xlnm.Print_Area" localSheetId="1">Comanda!$B$1:$K$49</definedName>
    <definedName name="_xlnm.Print_Area" localSheetId="2">Pedido!$B$1:$K$49</definedName>
    <definedName name="_xlnm.Print_Area" localSheetId="0">Portada!$D$1:$H$18</definedName>
    <definedName name="_xlnm.Print_Area" localSheetId="3">Pressupost!$B$1:$K$49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0" l="1"/>
  <c r="K27" i="10"/>
  <c r="J27" i="10"/>
  <c r="K26" i="10"/>
  <c r="J26" i="10"/>
  <c r="K25" i="10"/>
  <c r="J25" i="10"/>
  <c r="K24" i="10"/>
  <c r="J24" i="10"/>
  <c r="K23" i="10"/>
  <c r="K28" i="10"/>
  <c r="J23" i="10"/>
  <c r="K30" i="10"/>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6" i="3"/>
  <c r="D7" i="3"/>
  <c r="D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P6" i="3"/>
  <c r="Q6" i="3"/>
  <c r="P7" i="3"/>
  <c r="Q7" i="3"/>
  <c r="P8" i="3"/>
  <c r="Q8" i="3"/>
  <c r="P9" i="3"/>
  <c r="Q9" i="3"/>
  <c r="P10" i="3"/>
  <c r="Q10" i="3"/>
  <c r="P11" i="3"/>
  <c r="Q11" i="3"/>
  <c r="P12" i="3"/>
  <c r="Q12" i="3"/>
  <c r="P13" i="3"/>
  <c r="Q13" i="3"/>
  <c r="P14" i="3"/>
  <c r="Q14" i="3"/>
  <c r="P15" i="3"/>
  <c r="Q15" i="3"/>
  <c r="P16" i="3"/>
  <c r="Q16" i="3"/>
  <c r="P17" i="3"/>
  <c r="Q17" i="3"/>
  <c r="P18" i="3"/>
  <c r="Q18" i="3"/>
  <c r="P19" i="3"/>
  <c r="Q19" i="3"/>
  <c r="P20" i="3"/>
  <c r="Q20" i="3"/>
  <c r="P21" i="3"/>
  <c r="Q21" i="3"/>
  <c r="P22" i="3"/>
  <c r="Q22" i="3"/>
  <c r="P23" i="3"/>
  <c r="Q23" i="3"/>
  <c r="P24" i="3"/>
  <c r="Q24" i="3"/>
  <c r="P25" i="3"/>
  <c r="Q25" i="3"/>
  <c r="P26" i="3"/>
  <c r="Q26" i="3"/>
  <c r="P27" i="3"/>
  <c r="Q27" i="3"/>
  <c r="P28" i="3"/>
  <c r="Q28" i="3"/>
  <c r="P29" i="3"/>
  <c r="Q29" i="3"/>
  <c r="P30" i="3"/>
  <c r="Q30" i="3"/>
  <c r="P31" i="3"/>
  <c r="Q31" i="3"/>
  <c r="P32" i="3"/>
  <c r="Q32" i="3"/>
  <c r="P33" i="3"/>
  <c r="Q33" i="3"/>
  <c r="P34" i="3"/>
  <c r="Q34" i="3"/>
  <c r="P35" i="3"/>
  <c r="Q35" i="3"/>
  <c r="P36" i="3"/>
  <c r="Q36" i="3"/>
  <c r="P37" i="3"/>
  <c r="Q37" i="3"/>
  <c r="P38" i="3"/>
  <c r="Q38" i="3"/>
  <c r="P39" i="3"/>
  <c r="Q39" i="3"/>
  <c r="P40" i="3"/>
  <c r="Q40" i="3"/>
  <c r="P41" i="3"/>
  <c r="Q41" i="3"/>
  <c r="P42" i="3"/>
  <c r="Q42" i="3"/>
  <c r="P43" i="3"/>
  <c r="Q43" i="3"/>
  <c r="P44" i="3"/>
  <c r="Q44" i="3"/>
  <c r="P45" i="3"/>
  <c r="Q45" i="3"/>
  <c r="P46" i="3"/>
  <c r="Q46" i="3"/>
  <c r="P47" i="3"/>
  <c r="Q47" i="3"/>
  <c r="P48" i="3"/>
  <c r="Q48" i="3"/>
  <c r="P49" i="3"/>
  <c r="Q49" i="3"/>
  <c r="Q5" i="3"/>
  <c r="P5" i="3"/>
  <c r="R5" i="3"/>
  <c r="S5" i="3"/>
  <c r="H5" i="3"/>
  <c r="I5" i="3"/>
  <c r="H6" i="3"/>
  <c r="I6" i="3"/>
  <c r="J6" i="3"/>
  <c r="K6" i="3"/>
  <c r="H7" i="3"/>
  <c r="I7" i="3"/>
  <c r="J7" i="3"/>
  <c r="H8" i="3"/>
  <c r="I8" i="3"/>
  <c r="H9" i="3"/>
  <c r="I9" i="3"/>
  <c r="H10" i="3"/>
  <c r="I10" i="3"/>
  <c r="H11" i="3"/>
  <c r="I11" i="3"/>
  <c r="H12" i="3"/>
  <c r="I12" i="3"/>
  <c r="H13" i="3"/>
  <c r="I13" i="3"/>
  <c r="J13" i="3"/>
  <c r="H14" i="3"/>
  <c r="I14" i="3"/>
  <c r="J14" i="3"/>
  <c r="K14" i="3"/>
  <c r="H15" i="3"/>
  <c r="I15" i="3"/>
  <c r="J15" i="3"/>
  <c r="H16" i="3"/>
  <c r="I16" i="3"/>
  <c r="H17" i="3"/>
  <c r="I17" i="3"/>
  <c r="H18" i="3"/>
  <c r="I18" i="3"/>
  <c r="H19" i="3"/>
  <c r="I19" i="3"/>
  <c r="H20" i="3"/>
  <c r="I20" i="3"/>
  <c r="H21" i="3"/>
  <c r="J21" i="3"/>
  <c r="K21" i="3"/>
  <c r="I21" i="3"/>
  <c r="H22" i="3"/>
  <c r="I22" i="3"/>
  <c r="J22" i="3"/>
  <c r="K22" i="3"/>
  <c r="H23" i="3"/>
  <c r="I23" i="3"/>
  <c r="J23" i="3"/>
  <c r="H24" i="3"/>
  <c r="I24" i="3"/>
  <c r="H25" i="3"/>
  <c r="I25" i="3"/>
  <c r="H26" i="3"/>
  <c r="I26" i="3"/>
  <c r="H27" i="3"/>
  <c r="I27" i="3"/>
  <c r="H28" i="3"/>
  <c r="I28" i="3"/>
  <c r="H29" i="3"/>
  <c r="J29" i="3"/>
  <c r="K29" i="3"/>
  <c r="C20" i="3"/>
  <c r="I29" i="3"/>
  <c r="H30" i="3"/>
  <c r="I30" i="3"/>
  <c r="J30" i="3"/>
  <c r="K30" i="3"/>
  <c r="H31" i="3"/>
  <c r="I31" i="3"/>
  <c r="J31" i="3"/>
  <c r="H32" i="3"/>
  <c r="I32" i="3"/>
  <c r="H33" i="3"/>
  <c r="I33" i="3"/>
  <c r="H34" i="3"/>
  <c r="I34" i="3"/>
  <c r="H35" i="3"/>
  <c r="I35" i="3"/>
  <c r="H36" i="3"/>
  <c r="I36" i="3"/>
  <c r="H37" i="3"/>
  <c r="J37" i="3"/>
  <c r="K37" i="3"/>
  <c r="I37" i="3"/>
  <c r="H38" i="3"/>
  <c r="I38" i="3"/>
  <c r="J38" i="3"/>
  <c r="K38" i="3"/>
  <c r="H44" i="3"/>
  <c r="H51" i="3"/>
  <c r="I51" i="3"/>
  <c r="H52" i="3"/>
  <c r="I62" i="3"/>
  <c r="H63" i="3"/>
  <c r="I63" i="3"/>
  <c r="J63" i="3"/>
  <c r="H80" i="3"/>
  <c r="I91" i="3"/>
  <c r="I102" i="3"/>
  <c r="H103" i="3"/>
  <c r="I103" i="3"/>
  <c r="J103" i="3"/>
  <c r="H124" i="3"/>
  <c r="H127" i="3"/>
  <c r="I127" i="3"/>
  <c r="J127" i="3"/>
  <c r="H128" i="3"/>
  <c r="I128" i="3"/>
  <c r="H129" i="3"/>
  <c r="I129" i="3"/>
  <c r="H130" i="3"/>
  <c r="I130" i="3"/>
  <c r="H131" i="3"/>
  <c r="I131" i="3"/>
  <c r="H132" i="3"/>
  <c r="I132" i="3"/>
  <c r="H133" i="3"/>
  <c r="J133" i="3"/>
  <c r="I133" i="3"/>
  <c r="H134" i="3"/>
  <c r="I134" i="3"/>
  <c r="J134" i="3"/>
  <c r="K134" i="3"/>
  <c r="H135" i="3"/>
  <c r="I135" i="3"/>
  <c r="J135" i="3"/>
  <c r="H136" i="3"/>
  <c r="I136" i="3"/>
  <c r="H137" i="3"/>
  <c r="I137" i="3"/>
  <c r="H138" i="3"/>
  <c r="I138" i="3"/>
  <c r="H139" i="3"/>
  <c r="I139" i="3"/>
  <c r="H140" i="3"/>
  <c r="I140" i="3"/>
  <c r="H141" i="3"/>
  <c r="J141" i="3"/>
  <c r="K141" i="3"/>
  <c r="I141" i="3"/>
  <c r="H142" i="3"/>
  <c r="I142" i="3"/>
  <c r="J142" i="3"/>
  <c r="K142" i="3"/>
  <c r="H143" i="3"/>
  <c r="I143" i="3"/>
  <c r="J143" i="3"/>
  <c r="H144" i="3"/>
  <c r="I144" i="3"/>
  <c r="H145" i="3"/>
  <c r="I145" i="3"/>
  <c r="H146" i="3"/>
  <c r="I146" i="3"/>
  <c r="H147" i="3"/>
  <c r="I147" i="3"/>
  <c r="H148" i="3"/>
  <c r="I148" i="3"/>
  <c r="H149" i="3"/>
  <c r="J149" i="3"/>
  <c r="K149" i="3"/>
  <c r="I149" i="3"/>
  <c r="H150" i="3"/>
  <c r="I150" i="3"/>
  <c r="J150" i="3"/>
  <c r="K150" i="3"/>
  <c r="H151" i="3"/>
  <c r="I151" i="3"/>
  <c r="J151" i="3"/>
  <c r="H152" i="3"/>
  <c r="I152" i="3"/>
  <c r="H153" i="3"/>
  <c r="I153" i="3"/>
  <c r="I3" i="3"/>
  <c r="H3" i="3"/>
  <c r="J3" i="3"/>
  <c r="I4" i="3"/>
  <c r="H4" i="3"/>
  <c r="J4" i="3"/>
  <c r="B28" i="6"/>
  <c r="K27" i="6"/>
  <c r="K26" i="6"/>
  <c r="K25" i="6"/>
  <c r="K24" i="6"/>
  <c r="K23" i="6"/>
  <c r="U7" i="3"/>
  <c r="V7" i="3"/>
  <c r="W7" i="3"/>
  <c r="X7" i="3"/>
  <c r="U4" i="3"/>
  <c r="V4" i="3"/>
  <c r="W4" i="3"/>
  <c r="X4" i="3"/>
  <c r="U5" i="3"/>
  <c r="V5" i="3"/>
  <c r="W5" i="3"/>
  <c r="X5" i="3"/>
  <c r="U6" i="3"/>
  <c r="V6" i="3"/>
  <c r="W6" i="3"/>
  <c r="X6" i="3"/>
  <c r="X3" i="3"/>
  <c r="W3" i="3"/>
  <c r="V3" i="3"/>
  <c r="U3" i="3"/>
  <c r="G124" i="3"/>
  <c r="I124" i="3"/>
  <c r="G125" i="3"/>
  <c r="H125" i="3"/>
  <c r="G126" i="3"/>
  <c r="H126" i="3"/>
  <c r="G120" i="3"/>
  <c r="I120" i="3"/>
  <c r="G121" i="3"/>
  <c r="G122" i="3"/>
  <c r="I122" i="3"/>
  <c r="G123" i="3"/>
  <c r="H123" i="3"/>
  <c r="G119" i="3"/>
  <c r="G118" i="3"/>
  <c r="H118" i="3"/>
  <c r="G117" i="3"/>
  <c r="H117" i="3"/>
  <c r="G116" i="3"/>
  <c r="I116" i="3"/>
  <c r="G115" i="3"/>
  <c r="G114" i="3"/>
  <c r="G113" i="3"/>
  <c r="G112" i="3"/>
  <c r="I112" i="3"/>
  <c r="G111" i="3"/>
  <c r="H111" i="3"/>
  <c r="G110" i="3"/>
  <c r="H110" i="3"/>
  <c r="G109" i="3"/>
  <c r="H109" i="3"/>
  <c r="G108" i="3"/>
  <c r="I108" i="3"/>
  <c r="G107" i="3"/>
  <c r="G106" i="3"/>
  <c r="G105" i="3"/>
  <c r="G104" i="3"/>
  <c r="I104" i="3"/>
  <c r="G103" i="3"/>
  <c r="G102" i="3"/>
  <c r="H102" i="3"/>
  <c r="G101" i="3"/>
  <c r="H101" i="3"/>
  <c r="G100" i="3"/>
  <c r="I100" i="3"/>
  <c r="G99" i="3"/>
  <c r="B28" i="2"/>
  <c r="K27" i="2"/>
  <c r="K26" i="2"/>
  <c r="K25" i="2"/>
  <c r="K24" i="2"/>
  <c r="K23" i="2"/>
  <c r="G95" i="3"/>
  <c r="I95" i="3"/>
  <c r="G96" i="3"/>
  <c r="I96" i="3"/>
  <c r="G97" i="3"/>
  <c r="G98" i="3"/>
  <c r="I98" i="3"/>
  <c r="G94" i="3"/>
  <c r="H94" i="3"/>
  <c r="G90" i="3"/>
  <c r="I90" i="3"/>
  <c r="G91" i="3"/>
  <c r="H91" i="3"/>
  <c r="G92" i="3"/>
  <c r="I92" i="3"/>
  <c r="G93" i="3"/>
  <c r="H93" i="3"/>
  <c r="G89" i="3"/>
  <c r="G85" i="3"/>
  <c r="H85" i="3"/>
  <c r="G86" i="3"/>
  <c r="H86" i="3"/>
  <c r="G87" i="3"/>
  <c r="H87" i="3"/>
  <c r="G88" i="3"/>
  <c r="I88" i="3"/>
  <c r="G84" i="3"/>
  <c r="I84" i="3"/>
  <c r="G80" i="3"/>
  <c r="I80" i="3"/>
  <c r="G81" i="3"/>
  <c r="G82" i="3"/>
  <c r="G83" i="3"/>
  <c r="G79" i="3"/>
  <c r="H79" i="3"/>
  <c r="G75" i="3"/>
  <c r="I75" i="3"/>
  <c r="G76" i="3"/>
  <c r="I76" i="3"/>
  <c r="G77" i="3"/>
  <c r="H77" i="3"/>
  <c r="G78" i="3"/>
  <c r="H78" i="3"/>
  <c r="G74" i="3"/>
  <c r="G70" i="3"/>
  <c r="H70" i="3"/>
  <c r="G71" i="3"/>
  <c r="G72" i="3"/>
  <c r="I72" i="3"/>
  <c r="G73" i="3"/>
  <c r="G69" i="3"/>
  <c r="H69" i="3"/>
  <c r="G65" i="3"/>
  <c r="G66" i="3"/>
  <c r="G67" i="3"/>
  <c r="I67" i="3"/>
  <c r="G68" i="3"/>
  <c r="I68" i="3"/>
  <c r="G64" i="3"/>
  <c r="I64" i="3"/>
  <c r="G60" i="3"/>
  <c r="I60" i="3"/>
  <c r="G61" i="3"/>
  <c r="H61" i="3"/>
  <c r="G62" i="3"/>
  <c r="H62" i="3"/>
  <c r="G63" i="3"/>
  <c r="G59" i="3"/>
  <c r="I59" i="3"/>
  <c r="G55" i="3"/>
  <c r="I55" i="3"/>
  <c r="G56" i="3"/>
  <c r="I56" i="3"/>
  <c r="G57" i="3"/>
  <c r="G58" i="3"/>
  <c r="I58" i="3"/>
  <c r="G54" i="3"/>
  <c r="H54" i="3"/>
  <c r="G50" i="3"/>
  <c r="I50" i="3"/>
  <c r="G51" i="3"/>
  <c r="G52" i="3"/>
  <c r="I52" i="3"/>
  <c r="G53" i="3"/>
  <c r="H53" i="3"/>
  <c r="G49" i="3"/>
  <c r="G45" i="3"/>
  <c r="H45" i="3"/>
  <c r="G46" i="3"/>
  <c r="H46" i="3"/>
  <c r="G47" i="3"/>
  <c r="G48" i="3"/>
  <c r="I48" i="3"/>
  <c r="G44" i="3"/>
  <c r="I44" i="3"/>
  <c r="G40" i="3"/>
  <c r="I40" i="3"/>
  <c r="G41" i="3"/>
  <c r="G42" i="3"/>
  <c r="G43" i="3"/>
  <c r="G39" i="3"/>
  <c r="H39" i="3"/>
  <c r="B3" i="3"/>
  <c r="B4" i="3"/>
  <c r="B6" i="3"/>
  <c r="B7" i="3"/>
  <c r="B8" i="3"/>
  <c r="B9" i="3"/>
  <c r="B10" i="3"/>
  <c r="B11" i="3"/>
  <c r="B12" i="3"/>
  <c r="B13" i="3"/>
  <c r="B14" i="3"/>
  <c r="B15" i="3"/>
  <c r="B16" i="3"/>
  <c r="C16" i="3"/>
  <c r="B17" i="3"/>
  <c r="B18" i="3"/>
  <c r="B19" i="3"/>
  <c r="B20" i="3"/>
  <c r="B21" i="3"/>
  <c r="B22" i="3"/>
  <c r="B23" i="3"/>
  <c r="B24" i="3"/>
  <c r="B25" i="3"/>
  <c r="C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C86" i="3"/>
  <c r="B87" i="3"/>
  <c r="B88" i="3"/>
  <c r="B89" i="3"/>
  <c r="B90" i="3"/>
  <c r="B91" i="3"/>
  <c r="B92" i="3"/>
  <c r="B93" i="3"/>
  <c r="B94" i="3"/>
  <c r="B95" i="3"/>
  <c r="C95" i="3"/>
  <c r="B96" i="3"/>
  <c r="C96" i="3"/>
  <c r="B97" i="3"/>
  <c r="C97" i="3"/>
  <c r="B98" i="3"/>
  <c r="C98" i="3"/>
  <c r="B99" i="3"/>
  <c r="C99" i="3"/>
  <c r="B100" i="3"/>
  <c r="B101" i="3"/>
  <c r="B102" i="3"/>
  <c r="B103" i="3"/>
  <c r="B104" i="3"/>
  <c r="B105" i="3"/>
  <c r="B106" i="3"/>
  <c r="B107" i="3"/>
  <c r="C107" i="3"/>
  <c r="B108" i="3"/>
  <c r="C108" i="3"/>
  <c r="B109" i="3"/>
  <c r="C109" i="3"/>
  <c r="B110" i="3"/>
  <c r="C110" i="3"/>
  <c r="B111" i="3"/>
  <c r="C111" i="3"/>
  <c r="B112" i="3"/>
  <c r="B113" i="3"/>
  <c r="B114" i="3"/>
  <c r="B115" i="3"/>
  <c r="B116" i="3"/>
  <c r="B117" i="3"/>
  <c r="B118" i="3"/>
  <c r="B119" i="3"/>
  <c r="C119" i="3"/>
  <c r="B120" i="3"/>
  <c r="C120" i="3"/>
  <c r="B121" i="3"/>
  <c r="C121" i="3"/>
  <c r="B122" i="3"/>
  <c r="C122" i="3"/>
  <c r="B123" i="3"/>
  <c r="C123" i="3"/>
  <c r="B124" i="3"/>
  <c r="B125" i="3"/>
  <c r="B126" i="3"/>
  <c r="B127" i="3"/>
  <c r="B128" i="3"/>
  <c r="B129" i="3"/>
  <c r="B130" i="3"/>
  <c r="B131" i="3"/>
  <c r="C131" i="3"/>
  <c r="B132" i="3"/>
  <c r="C132" i="3"/>
  <c r="B133" i="3"/>
  <c r="C133" i="3"/>
  <c r="B134" i="3"/>
  <c r="C134" i="3"/>
  <c r="B135" i="3"/>
  <c r="C135" i="3"/>
  <c r="B136" i="3"/>
  <c r="B137" i="3"/>
  <c r="B138" i="3"/>
  <c r="B139" i="3"/>
  <c r="B140" i="3"/>
  <c r="B141" i="3"/>
  <c r="B142" i="3"/>
  <c r="B143" i="3"/>
  <c r="C143" i="3"/>
  <c r="B144" i="3"/>
  <c r="C144" i="3"/>
  <c r="B145" i="3"/>
  <c r="C145" i="3"/>
  <c r="B146" i="3"/>
  <c r="C146" i="3"/>
  <c r="B147" i="3"/>
  <c r="C147" i="3"/>
  <c r="B148" i="3"/>
  <c r="B149" i="3"/>
  <c r="B150" i="3"/>
  <c r="B151" i="3"/>
  <c r="B152" i="3"/>
  <c r="B5" i="3"/>
  <c r="K31" i="10"/>
  <c r="K28" i="6"/>
  <c r="H112" i="3"/>
  <c r="J112" i="3"/>
  <c r="I79" i="3"/>
  <c r="J79" i="3"/>
  <c r="I39" i="3"/>
  <c r="J39" i="3"/>
  <c r="H60" i="3"/>
  <c r="K133" i="3"/>
  <c r="I118" i="3"/>
  <c r="K13" i="3"/>
  <c r="K151" i="3"/>
  <c r="J147" i="3"/>
  <c r="K143" i="3"/>
  <c r="J139" i="3"/>
  <c r="K135" i="3"/>
  <c r="J131" i="3"/>
  <c r="K127" i="3"/>
  <c r="H116" i="3"/>
  <c r="H40" i="3"/>
  <c r="J36" i="3"/>
  <c r="J28" i="3"/>
  <c r="J20" i="3"/>
  <c r="J12" i="3"/>
  <c r="C40" i="3"/>
  <c r="C15" i="3"/>
  <c r="J51" i="3"/>
  <c r="K51" i="3"/>
  <c r="K63" i="3"/>
  <c r="J91" i="3"/>
  <c r="K91" i="3"/>
  <c r="C56" i="3"/>
  <c r="J146" i="3"/>
  <c r="J138" i="3"/>
  <c r="J130" i="3"/>
  <c r="I123" i="3"/>
  <c r="I111" i="3"/>
  <c r="J111" i="3"/>
  <c r="H100" i="3"/>
  <c r="H88" i="3"/>
  <c r="J88" i="3"/>
  <c r="H76" i="3"/>
  <c r="J35" i="3"/>
  <c r="J27" i="3"/>
  <c r="J19" i="3"/>
  <c r="J11" i="3"/>
  <c r="I87" i="3"/>
  <c r="J87" i="3"/>
  <c r="H48" i="3"/>
  <c r="J75" i="3"/>
  <c r="K75" i="3"/>
  <c r="C47" i="3"/>
  <c r="J145" i="3"/>
  <c r="J137" i="3"/>
  <c r="K137" i="3"/>
  <c r="C83" i="3"/>
  <c r="J129" i="3"/>
  <c r="K129" i="3"/>
  <c r="I110" i="3"/>
  <c r="K110" i="3"/>
  <c r="C67" i="3"/>
  <c r="H75" i="3"/>
  <c r="I47" i="3"/>
  <c r="J34" i="3"/>
  <c r="J26" i="3"/>
  <c r="J18" i="3"/>
  <c r="J10" i="3"/>
  <c r="I119" i="3"/>
  <c r="J119" i="3"/>
  <c r="K119" i="3"/>
  <c r="H108" i="3"/>
  <c r="I94" i="3"/>
  <c r="I86" i="3"/>
  <c r="H72" i="3"/>
  <c r="J72" i="3"/>
  <c r="K72" i="3"/>
  <c r="C45" i="3"/>
  <c r="H47" i="3"/>
  <c r="K17" i="3"/>
  <c r="C13" i="3"/>
  <c r="J148" i="3"/>
  <c r="J140" i="3"/>
  <c r="J132" i="3"/>
  <c r="H119" i="3"/>
  <c r="H104" i="3"/>
  <c r="H92" i="3"/>
  <c r="H84" i="3"/>
  <c r="I54" i="3"/>
  <c r="J54" i="3"/>
  <c r="K54" i="3"/>
  <c r="I46" i="3"/>
  <c r="J46" i="3"/>
  <c r="K46" i="3"/>
  <c r="C30" i="3"/>
  <c r="J33" i="3"/>
  <c r="K33" i="3"/>
  <c r="C22" i="3"/>
  <c r="J25" i="3"/>
  <c r="K25" i="3"/>
  <c r="J17" i="3"/>
  <c r="J9" i="3"/>
  <c r="K9" i="3"/>
  <c r="C8" i="3"/>
  <c r="J5" i="3"/>
  <c r="K5" i="3"/>
  <c r="C6" i="3"/>
  <c r="J80" i="3"/>
  <c r="J40" i="3"/>
  <c r="K40" i="3"/>
  <c r="C26" i="3"/>
  <c r="C54" i="3"/>
  <c r="J102" i="3"/>
  <c r="K102" i="3"/>
  <c r="J110" i="3"/>
  <c r="J118" i="3"/>
  <c r="K118" i="3"/>
  <c r="C72" i="3"/>
  <c r="K31" i="3"/>
  <c r="C21" i="3"/>
  <c r="K23" i="3"/>
  <c r="K15" i="3"/>
  <c r="K7" i="3"/>
  <c r="C7" i="3"/>
  <c r="J62" i="3"/>
  <c r="K62" i="3"/>
  <c r="C39" i="3"/>
  <c r="K103" i="3"/>
  <c r="C63" i="3"/>
  <c r="K111" i="3"/>
  <c r="C68" i="3"/>
  <c r="J48" i="3"/>
  <c r="K87" i="3"/>
  <c r="J94" i="3"/>
  <c r="K94" i="3"/>
  <c r="C58" i="3"/>
  <c r="K39" i="3"/>
  <c r="K79" i="3"/>
  <c r="C49" i="3"/>
  <c r="J86" i="3"/>
  <c r="K86" i="3"/>
  <c r="C53" i="3"/>
  <c r="J104" i="3"/>
  <c r="H120" i="3"/>
  <c r="J120" i="3"/>
  <c r="K120" i="3"/>
  <c r="C73" i="3"/>
  <c r="H96" i="3"/>
  <c r="J96" i="3"/>
  <c r="K96" i="3"/>
  <c r="C59" i="3"/>
  <c r="H68" i="3"/>
  <c r="J68" i="3"/>
  <c r="K68" i="3"/>
  <c r="H64" i="3"/>
  <c r="H56" i="3"/>
  <c r="J152" i="3"/>
  <c r="K152" i="3"/>
  <c r="C92" i="3"/>
  <c r="J144" i="3"/>
  <c r="K144" i="3"/>
  <c r="C87" i="3"/>
  <c r="J136" i="3"/>
  <c r="K136" i="3"/>
  <c r="J128" i="3"/>
  <c r="K128" i="3"/>
  <c r="C78" i="3"/>
  <c r="J56" i="3"/>
  <c r="K56" i="3"/>
  <c r="J32" i="3"/>
  <c r="K32" i="3"/>
  <c r="J24" i="3"/>
  <c r="K24" i="3"/>
  <c r="C17" i="3"/>
  <c r="J16" i="3"/>
  <c r="K16" i="3"/>
  <c r="C12" i="3"/>
  <c r="J8" i="3"/>
  <c r="K8" i="3"/>
  <c r="C149" i="3"/>
  <c r="C141" i="3"/>
  <c r="C125" i="3"/>
  <c r="C117" i="3"/>
  <c r="C101" i="3"/>
  <c r="C93" i="3"/>
  <c r="C77" i="3"/>
  <c r="I115" i="3"/>
  <c r="I107" i="3"/>
  <c r="I99" i="3"/>
  <c r="I83" i="3"/>
  <c r="I71" i="3"/>
  <c r="I43" i="3"/>
  <c r="C148" i="3"/>
  <c r="C140" i="3"/>
  <c r="C124" i="3"/>
  <c r="C116" i="3"/>
  <c r="C100" i="3"/>
  <c r="H115" i="3"/>
  <c r="J115" i="3"/>
  <c r="K115" i="3"/>
  <c r="C70" i="3"/>
  <c r="H107" i="3"/>
  <c r="J107" i="3"/>
  <c r="K107" i="3"/>
  <c r="H99" i="3"/>
  <c r="H95" i="3"/>
  <c r="J95" i="3"/>
  <c r="H83" i="3"/>
  <c r="H71" i="3"/>
  <c r="H67" i="3"/>
  <c r="J67" i="3"/>
  <c r="K67" i="3"/>
  <c r="C42" i="3"/>
  <c r="H59" i="3"/>
  <c r="J59" i="3"/>
  <c r="K59" i="3"/>
  <c r="H55" i="3"/>
  <c r="J55" i="3"/>
  <c r="H43" i="3"/>
  <c r="J43" i="3"/>
  <c r="K43" i="3"/>
  <c r="C28" i="3"/>
  <c r="K148" i="3"/>
  <c r="K140" i="3"/>
  <c r="C85" i="3"/>
  <c r="K132" i="3"/>
  <c r="K36" i="3"/>
  <c r="C24" i="3"/>
  <c r="K28" i="3"/>
  <c r="C19" i="3"/>
  <c r="K20" i="3"/>
  <c r="K12" i="3"/>
  <c r="C10" i="3"/>
  <c r="K4" i="3"/>
  <c r="C5" i="3"/>
  <c r="C139" i="3"/>
  <c r="C115" i="3"/>
  <c r="C91" i="3"/>
  <c r="C11" i="3"/>
  <c r="I126" i="3"/>
  <c r="I114" i="3"/>
  <c r="I106" i="3"/>
  <c r="I82" i="3"/>
  <c r="I78" i="3"/>
  <c r="J78" i="3"/>
  <c r="I74" i="3"/>
  <c r="I70" i="3"/>
  <c r="J70" i="3"/>
  <c r="K70" i="3"/>
  <c r="C44" i="3"/>
  <c r="I66" i="3"/>
  <c r="I42" i="3"/>
  <c r="K147" i="3"/>
  <c r="K139" i="3"/>
  <c r="C84" i="3"/>
  <c r="K131" i="3"/>
  <c r="K35" i="3"/>
  <c r="K27" i="3"/>
  <c r="K19" i="3"/>
  <c r="K11" i="3"/>
  <c r="C138" i="3"/>
  <c r="C130" i="3"/>
  <c r="C114" i="3"/>
  <c r="C106" i="3"/>
  <c r="C90" i="3"/>
  <c r="C82" i="3"/>
  <c r="H122" i="3"/>
  <c r="J122" i="3"/>
  <c r="K122" i="3"/>
  <c r="C74" i="3"/>
  <c r="H114" i="3"/>
  <c r="H106" i="3"/>
  <c r="H98" i="3"/>
  <c r="J98" i="3"/>
  <c r="K98" i="3"/>
  <c r="C60" i="3"/>
  <c r="H90" i="3"/>
  <c r="J90" i="3"/>
  <c r="K90" i="3"/>
  <c r="H82" i="3"/>
  <c r="H74" i="3"/>
  <c r="H66" i="3"/>
  <c r="H58" i="3"/>
  <c r="J58" i="3"/>
  <c r="K58" i="3"/>
  <c r="C37" i="3"/>
  <c r="H50" i="3"/>
  <c r="J50" i="3"/>
  <c r="K50" i="3"/>
  <c r="C32" i="3"/>
  <c r="H42" i="3"/>
  <c r="J42" i="3"/>
  <c r="K42" i="3"/>
  <c r="J124" i="3"/>
  <c r="K124" i="3"/>
  <c r="J116" i="3"/>
  <c r="K116" i="3"/>
  <c r="C71" i="3"/>
  <c r="J108" i="3"/>
  <c r="K108" i="3"/>
  <c r="C66" i="3"/>
  <c r="J100" i="3"/>
  <c r="K100" i="3"/>
  <c r="J92" i="3"/>
  <c r="K92" i="3"/>
  <c r="J84" i="3"/>
  <c r="K84" i="3"/>
  <c r="C52" i="3"/>
  <c r="J76" i="3"/>
  <c r="K76" i="3"/>
  <c r="J60" i="3"/>
  <c r="K60" i="3"/>
  <c r="C38" i="3"/>
  <c r="J52" i="3"/>
  <c r="K52" i="3"/>
  <c r="C33" i="3"/>
  <c r="J44" i="3"/>
  <c r="K44" i="3"/>
  <c r="K146" i="3"/>
  <c r="C88" i="3"/>
  <c r="K138" i="3"/>
  <c r="K130" i="3"/>
  <c r="K34" i="3"/>
  <c r="C23" i="3"/>
  <c r="K26" i="3"/>
  <c r="C18" i="3"/>
  <c r="K18" i="3"/>
  <c r="K10" i="3"/>
  <c r="C9" i="3"/>
  <c r="C137" i="3"/>
  <c r="C129" i="3"/>
  <c r="C113" i="3"/>
  <c r="C105" i="3"/>
  <c r="C89" i="3"/>
  <c r="C81" i="3"/>
  <c r="I125" i="3"/>
  <c r="J125" i="3"/>
  <c r="I121" i="3"/>
  <c r="I117" i="3"/>
  <c r="J117" i="3"/>
  <c r="I113" i="3"/>
  <c r="I109" i="3"/>
  <c r="I105" i="3"/>
  <c r="I101" i="3"/>
  <c r="I97" i="3"/>
  <c r="I93" i="3"/>
  <c r="J93" i="3"/>
  <c r="I89" i="3"/>
  <c r="I85" i="3"/>
  <c r="J85" i="3"/>
  <c r="K85" i="3"/>
  <c r="I81" i="3"/>
  <c r="I77" i="3"/>
  <c r="I73" i="3"/>
  <c r="I69" i="3"/>
  <c r="J69" i="3"/>
  <c r="I65" i="3"/>
  <c r="I61" i="3"/>
  <c r="J61" i="3"/>
  <c r="K61" i="3"/>
  <c r="I57" i="3"/>
  <c r="I53" i="3"/>
  <c r="J53" i="3"/>
  <c r="I49" i="3"/>
  <c r="I45" i="3"/>
  <c r="I41" i="3"/>
  <c r="K3" i="3"/>
  <c r="K145" i="3"/>
  <c r="C152" i="3"/>
  <c r="C136" i="3"/>
  <c r="C128" i="3"/>
  <c r="C112" i="3"/>
  <c r="C104" i="3"/>
  <c r="C80" i="3"/>
  <c r="H121" i="3"/>
  <c r="H113" i="3"/>
  <c r="H105" i="3"/>
  <c r="H97" i="3"/>
  <c r="H89" i="3"/>
  <c r="H81" i="3"/>
  <c r="H73" i="3"/>
  <c r="J73" i="3"/>
  <c r="K73" i="3"/>
  <c r="H65" i="3"/>
  <c r="J65" i="3"/>
  <c r="K65" i="3"/>
  <c r="C41" i="3"/>
  <c r="H57" i="3"/>
  <c r="H49" i="3"/>
  <c r="H41" i="3"/>
  <c r="J41" i="3"/>
  <c r="K112" i="3"/>
  <c r="K104" i="3"/>
  <c r="K88" i="3"/>
  <c r="K80" i="3"/>
  <c r="K48" i="3"/>
  <c r="C31" i="3"/>
  <c r="C151" i="3"/>
  <c r="C127" i="3"/>
  <c r="C103" i="3"/>
  <c r="C79" i="3"/>
  <c r="C150" i="3"/>
  <c r="C142" i="3"/>
  <c r="C126" i="3"/>
  <c r="C118" i="3"/>
  <c r="C102" i="3"/>
  <c r="C94" i="3"/>
  <c r="C14" i="3"/>
  <c r="Y3" i="3"/>
  <c r="J23" i="6"/>
  <c r="Y5" i="3"/>
  <c r="J25" i="6"/>
  <c r="Y4" i="3"/>
  <c r="J24" i="6"/>
  <c r="Y6" i="3"/>
  <c r="J26" i="6"/>
  <c r="Y7" i="3"/>
  <c r="J27" i="6"/>
  <c r="K28" i="2"/>
  <c r="K30" i="6"/>
  <c r="K31" i="6"/>
  <c r="J97" i="3"/>
  <c r="J123" i="3"/>
  <c r="K123" i="3"/>
  <c r="C75" i="3"/>
  <c r="J74" i="3"/>
  <c r="K74" i="3"/>
  <c r="C46" i="3"/>
  <c r="J47" i="3"/>
  <c r="K45" i="3"/>
  <c r="C29" i="3"/>
  <c r="K97" i="3"/>
  <c r="K53" i="3"/>
  <c r="C34" i="3"/>
  <c r="K117" i="3"/>
  <c r="J82" i="3"/>
  <c r="J99" i="3"/>
  <c r="K99" i="3"/>
  <c r="C61" i="3"/>
  <c r="J49" i="3"/>
  <c r="K49" i="3"/>
  <c r="J113" i="3"/>
  <c r="K113" i="3"/>
  <c r="C69" i="3"/>
  <c r="K125" i="3"/>
  <c r="C76" i="3"/>
  <c r="J64" i="3"/>
  <c r="K64" i="3"/>
  <c r="J57" i="3"/>
  <c r="K57" i="3"/>
  <c r="C36" i="3"/>
  <c r="J121" i="3"/>
  <c r="K121" i="3"/>
  <c r="J45" i="3"/>
  <c r="K47" i="3"/>
  <c r="J109" i="3"/>
  <c r="K109" i="3"/>
  <c r="K101" i="3"/>
  <c r="C62" i="3"/>
  <c r="J24" i="2"/>
  <c r="J23" i="2"/>
  <c r="J101" i="3"/>
  <c r="J114" i="3"/>
  <c r="K114" i="3"/>
  <c r="J77" i="3"/>
  <c r="K77" i="3"/>
  <c r="C48" i="3"/>
  <c r="K78" i="3"/>
  <c r="K95" i="3"/>
  <c r="K82" i="3"/>
  <c r="C51" i="3"/>
  <c r="J71" i="3"/>
  <c r="K71" i="3"/>
  <c r="J106" i="3"/>
  <c r="K106" i="3"/>
  <c r="C65" i="3"/>
  <c r="J66" i="3"/>
  <c r="K66" i="3"/>
  <c r="K93" i="3"/>
  <c r="C57" i="3"/>
  <c r="J81" i="3"/>
  <c r="K81" i="3"/>
  <c r="C50" i="3"/>
  <c r="J83" i="3"/>
  <c r="K83" i="3"/>
  <c r="J89" i="3"/>
  <c r="K89" i="3"/>
  <c r="C55" i="3"/>
  <c r="J126" i="3"/>
  <c r="K126" i="3"/>
  <c r="J105" i="3"/>
  <c r="K105" i="3"/>
  <c r="C64" i="3"/>
  <c r="K69" i="3"/>
  <c r="C43" i="3"/>
  <c r="K55" i="3"/>
  <c r="C35" i="3"/>
  <c r="K41" i="3"/>
  <c r="C27" i="3"/>
  <c r="Z7" i="3"/>
  <c r="J27" i="2"/>
  <c r="Z6" i="3"/>
  <c r="J26" i="2"/>
  <c r="Z5" i="3"/>
  <c r="J25" i="2"/>
  <c r="Z4" i="3"/>
  <c r="Z3" i="3"/>
  <c r="K30" i="2"/>
  <c r="K31" i="2"/>
</calcChain>
</file>

<file path=xl/sharedStrings.xml><?xml version="1.0" encoding="utf-8"?>
<sst xmlns="http://schemas.openxmlformats.org/spreadsheetml/2006/main" count="189" uniqueCount="106">
  <si>
    <t>RI ID</t>
  </si>
  <si>
    <t>EMAIL</t>
  </si>
  <si>
    <t>C. POSTAL</t>
  </si>
  <si>
    <t>DATOS DEL PEDIDO</t>
  </si>
  <si>
    <t>DADES DEL CLUB SOL·LICITANT</t>
  </si>
  <si>
    <t>NOM DEL CLUB</t>
  </si>
  <si>
    <t>POBLACIÓ</t>
  </si>
  <si>
    <t>DISTRICTE</t>
  </si>
  <si>
    <t>COORDINADOR COMANDA</t>
  </si>
  <si>
    <t>NOM</t>
  </si>
  <si>
    <t>TELÈFON</t>
  </si>
  <si>
    <t>DADES COMANDA TITOL PERSONAL</t>
  </si>
  <si>
    <t>COGNOMS</t>
  </si>
  <si>
    <t>CPOSTAL</t>
  </si>
  <si>
    <t>DADES FACTURACIÓ</t>
  </si>
  <si>
    <t>RAÓ SOCIAL</t>
  </si>
  <si>
    <t>DOMICILI FISCAL</t>
  </si>
  <si>
    <t>PORTS</t>
  </si>
  <si>
    <t>PREUS</t>
  </si>
  <si>
    <t>Mínim 3 lots</t>
  </si>
  <si>
    <t>Pes</t>
  </si>
  <si>
    <t>Lots</t>
  </si>
  <si>
    <t>Preus</t>
  </si>
  <si>
    <t>Sub Total €</t>
  </si>
  <si>
    <t>FORMA DE PAGAMENT</t>
  </si>
  <si>
    <r>
      <rPr>
        <b/>
        <sz val="10"/>
        <color theme="1"/>
        <rFont val="Calibri (Cuerpo)"/>
      </rPr>
      <t xml:space="preserve">El lot consta de: </t>
    </r>
    <r>
      <rPr>
        <sz val="10"/>
        <color theme="1"/>
        <rFont val="Calibri"/>
        <family val="2"/>
        <scheme val="minor"/>
      </rPr>
      <t xml:space="preserve">
1 ampolla de 1/2 litre d'oli de la varietat Morrut i1 ampolla de 1/2 litre d'oli de la varietat Panisello</t>
    </r>
  </si>
  <si>
    <r>
      <rPr>
        <b/>
        <sz val="10"/>
        <color theme="1"/>
        <rFont val="Calibri (Cuerpo)"/>
      </rPr>
      <t>Quantitat mínima de comanda:</t>
    </r>
    <r>
      <rPr>
        <sz val="10"/>
        <color theme="1"/>
        <rFont val="Calibri"/>
        <family val="2"/>
        <scheme val="minor"/>
      </rPr>
      <t xml:space="preserve">
Recollida a Rústiques Faiges: 1 Lot
Enviament transportiste: 3 Lots</t>
    </r>
  </si>
  <si>
    <t>Iva</t>
  </si>
  <si>
    <t>Import</t>
  </si>
  <si>
    <t>OLI SOLIDARI</t>
  </si>
  <si>
    <t>Transferència Bancaria: ESXX XXXX XXXX XXXX XXXX XXXX   SWIFT: XXXXXXXXX</t>
  </si>
  <si>
    <t>Data comanda</t>
  </si>
  <si>
    <t>Registre Intern RCT</t>
  </si>
  <si>
    <t>Qty.
LOTS</t>
  </si>
  <si>
    <t>PREU
LOT</t>
  </si>
  <si>
    <t>DESTINATARI</t>
  </si>
  <si>
    <t>CIF/NIF</t>
  </si>
  <si>
    <r>
      <rPr>
        <b/>
        <sz val="10"/>
        <color theme="1"/>
        <rFont val="Calibri (Cuerpo)"/>
      </rPr>
      <t>Preu LOT: 18€</t>
    </r>
    <r>
      <rPr>
        <sz val="10"/>
        <color theme="1"/>
        <rFont val="Calibri"/>
        <family val="2"/>
        <scheme val="minor"/>
      </rPr>
      <t xml:space="preserve">
Inclosa l'aportació solidaria de: </t>
    </r>
    <r>
      <rPr>
        <b/>
        <sz val="10"/>
        <color theme="1"/>
        <rFont val="Calibri"/>
        <family val="2"/>
        <scheme val="minor"/>
      </rPr>
      <t>2,10€/Lot</t>
    </r>
    <r>
      <rPr>
        <sz val="10"/>
        <color theme="1"/>
        <rFont val="Calibri"/>
        <family val="2"/>
        <scheme val="minor"/>
      </rPr>
      <t xml:space="preserve"> per al programa </t>
    </r>
    <r>
      <rPr>
        <b/>
        <sz val="10"/>
        <color theme="1"/>
        <rFont val="Calibri"/>
        <family val="2"/>
        <scheme val="minor"/>
      </rPr>
      <t>END POLIO NOW</t>
    </r>
    <r>
      <rPr>
        <sz val="10"/>
        <color theme="1"/>
        <rFont val="Calibri"/>
        <family val="2"/>
        <scheme val="minor"/>
      </rPr>
      <t xml:space="preserve">
i de 0,90€ per a projectes del Club</t>
    </r>
  </si>
  <si>
    <t>Catalunya</t>
  </si>
  <si>
    <t>Calcula Automàticament</t>
  </si>
  <si>
    <t>Preu
Resta
Nacional</t>
  </si>
  <si>
    <t>Preu Regional</t>
  </si>
  <si>
    <t>CATALÀ</t>
  </si>
  <si>
    <t>CASTELLANO</t>
  </si>
  <si>
    <t>OLI SOLIDARI / ACEITE SOLIDARIO</t>
  </si>
  <si>
    <t>COMANDES / PEDIDOS 2024-2025</t>
  </si>
  <si>
    <t>ACEITE SOLIDARIO</t>
  </si>
  <si>
    <t>FORMULARIO DE PEDIDO 2024-2025</t>
  </si>
  <si>
    <t>FORMULARI DE COMANDA 2024-2025</t>
  </si>
  <si>
    <t>Codi
Postal</t>
  </si>
  <si>
    <t>ADREÇA ENTREGA</t>
  </si>
  <si>
    <t>Tipus Ports</t>
  </si>
  <si>
    <t>Nacional Peninsula</t>
  </si>
  <si>
    <t>Illes Balears</t>
  </si>
  <si>
    <t>Canaries</t>
  </si>
  <si>
    <t>Més de 20 Lots</t>
  </si>
  <si>
    <t>Catalunya i Nacional Peninsular</t>
  </si>
  <si>
    <t>DATOS DEL CLUB SOLICITANTE</t>
  </si>
  <si>
    <t>NOMBRE DEL CLUB</t>
  </si>
  <si>
    <t>POBLACIÓN</t>
  </si>
  <si>
    <t>DISTRITO</t>
  </si>
  <si>
    <t>COORDINADOR PEDIDO</t>
  </si>
  <si>
    <t>NOMBRE</t>
  </si>
  <si>
    <t>TELÉFONO</t>
  </si>
  <si>
    <t>APELLIDOS</t>
  </si>
  <si>
    <t>DATOS PEDIDO TITULO PERSONAL</t>
  </si>
  <si>
    <t>RAZÓN SOCIAL</t>
  </si>
  <si>
    <t>DOMICILIO FISCAL</t>
  </si>
  <si>
    <t>DATOS FACTURACIÓN</t>
  </si>
  <si>
    <t>LOTES</t>
  </si>
  <si>
    <t>DESTINATARIO</t>
  </si>
  <si>
    <t>DOMICILIO ENTREGA</t>
  </si>
  <si>
    <t>(Si es a recoger en Rústiques Faiges deja dirección y C.Postal en blanco)</t>
  </si>
  <si>
    <t>C.
Postal</t>
  </si>
  <si>
    <t>PRECIO
LOTE</t>
  </si>
  <si>
    <t>PORTES</t>
  </si>
  <si>
    <r>
      <rPr>
        <b/>
        <sz val="10"/>
        <color theme="1"/>
        <rFont val="Calibri (Cuerpo)"/>
      </rPr>
      <t xml:space="preserve">El lote consta de: </t>
    </r>
    <r>
      <rPr>
        <sz val="10"/>
        <color theme="1"/>
        <rFont val="Calibri"/>
        <family val="2"/>
        <scheme val="minor"/>
      </rPr>
      <t xml:space="preserve">
1 botella de 1/2 litro de AOVE de la variedad Morrut i 1 botella  de 1/2 litre de AEVE de la variedad Panisello</t>
    </r>
  </si>
  <si>
    <r>
      <rPr>
        <b/>
        <sz val="10"/>
        <color theme="1"/>
        <rFont val="Calibri (Cuerpo)"/>
      </rPr>
      <t>Cantidad mínima de pediodo:</t>
    </r>
    <r>
      <rPr>
        <sz val="10"/>
        <color theme="1"/>
        <rFont val="Calibri"/>
        <family val="2"/>
        <scheme val="minor"/>
      </rPr>
      <t xml:space="preserve">
Recogida en Rústiques Faiges: 1 Lot
Envio por transportista: 3 Lots</t>
    </r>
  </si>
  <si>
    <r>
      <rPr>
        <b/>
        <sz val="10"/>
        <color theme="1"/>
        <rFont val="Calibri (Cuerpo)"/>
      </rPr>
      <t>Precio LOTE: 18€</t>
    </r>
    <r>
      <rPr>
        <sz val="10"/>
        <color theme="1"/>
        <rFont val="Calibri"/>
        <family val="2"/>
        <scheme val="minor"/>
      </rPr>
      <t xml:space="preserve">
Incluye la aportación solidaria de: </t>
    </r>
    <r>
      <rPr>
        <b/>
        <sz val="10"/>
        <color theme="1"/>
        <rFont val="Calibri"/>
        <family val="2"/>
        <scheme val="minor"/>
      </rPr>
      <t>2,10€/Lote</t>
    </r>
    <r>
      <rPr>
        <sz val="10"/>
        <color theme="1"/>
        <rFont val="Calibri"/>
        <family val="2"/>
        <scheme val="minor"/>
      </rPr>
      <t xml:space="preserve"> pera el programa </t>
    </r>
    <r>
      <rPr>
        <b/>
        <sz val="10"/>
        <color theme="1"/>
        <rFont val="Calibri"/>
        <family val="2"/>
        <scheme val="minor"/>
      </rPr>
      <t xml:space="preserve">END POLIO NOW 
</t>
    </r>
    <r>
      <rPr>
        <sz val="10"/>
        <color theme="1"/>
        <rFont val="Calibri"/>
        <family val="2"/>
        <scheme val="minor"/>
      </rPr>
      <t>y de 0,90€ pea proyectos del Club</t>
    </r>
  </si>
  <si>
    <t>Catalunya y Nacional Peninsular</t>
  </si>
  <si>
    <t>Calcula Automáticamente</t>
  </si>
  <si>
    <t>Islas Baleares</t>
  </si>
  <si>
    <t>Más de 20 Lotes</t>
  </si>
  <si>
    <t>PRECIOS</t>
  </si>
  <si>
    <t>PORTES
(Caja de 3 lotes)</t>
  </si>
  <si>
    <t>FORMA DE PAGO</t>
  </si>
  <si>
    <t>PORTS
(Caixa de 3 lots)</t>
  </si>
  <si>
    <r>
      <rPr>
        <i/>
        <sz val="14"/>
        <color theme="1"/>
        <rFont val="Calibri"/>
        <family val="2"/>
        <scheme val="minor"/>
      </rPr>
      <t xml:space="preserve">CONSULTAR a </t>
    </r>
    <r>
      <rPr>
        <sz val="11"/>
        <color theme="1"/>
        <rFont val="Calibri"/>
        <family val="2"/>
        <scheme val="minor"/>
      </rPr>
      <t>productesolidaritortosa@rotary2202.org</t>
    </r>
  </si>
  <si>
    <r>
      <rPr>
        <i/>
        <sz val="14"/>
        <color theme="1"/>
        <rFont val="Calibri"/>
        <family val="2"/>
        <scheme val="minor"/>
      </rPr>
      <t>CONSULTAR</t>
    </r>
    <r>
      <rPr>
        <i/>
        <sz val="11"/>
        <color theme="1"/>
        <rFont val="Calibri"/>
        <family val="2"/>
        <scheme val="minor"/>
      </rPr>
      <t xml:space="preserve"> a </t>
    </r>
    <r>
      <rPr>
        <sz val="11"/>
        <color theme="1"/>
        <rFont val="Calibri"/>
        <family val="2"/>
        <scheme val="minor"/>
      </rPr>
      <t>productesolidaritortosa@rotary2202.org</t>
    </r>
  </si>
  <si>
    <t>ENVIAR AQUEST FORMULARI A: productesolidaritortosa@rotary2202.org</t>
  </si>
  <si>
    <t>Enviar justificante de pago a: productesolidaritortosa@rotary2202.org</t>
  </si>
  <si>
    <t>ENVIAR ESTE FORMULARIO A: productesolidaritortosa@rotary2202.org</t>
  </si>
  <si>
    <t>Enviar justificant de pagament  a: productesolidaritortosa@rotary2202.org</t>
  </si>
  <si>
    <t>(Si és recollida a Rústiques Faiges deixar Codi Postal en blanc)</t>
  </si>
  <si>
    <t>NURIA MORAL</t>
  </si>
  <si>
    <t>Combustible</t>
  </si>
  <si>
    <t>Assegurança</t>
  </si>
  <si>
    <t>Ports ( inclou Supl. Combustible, Assegurança i IVA)</t>
  </si>
  <si>
    <t>Portes ( Incluye Supl. Combustible, Seguro e IVA)</t>
  </si>
  <si>
    <t>TOTAL (IVA incluido)</t>
  </si>
  <si>
    <t>TOTAL (IVA Inclòs)</t>
  </si>
  <si>
    <t>PRESSUPOST 2024-2025</t>
  </si>
  <si>
    <t>Transferència Bancaria: ES53 2100 8619 0502 0002 9792</t>
  </si>
  <si>
    <t>INDICANT NIF/CIF de l'ordenant o Nom del Club</t>
  </si>
  <si>
    <t>INDICANDO NIF/CIF deL ordenante o Nombre del Club</t>
  </si>
  <si>
    <t>Transferencia Bancaria: ES53 2100 8619 0502 0002 9792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</si>
</sst>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_-* #,##0.00\ [$€-C0A]_-;\-* #,##0.00\ [$€-C0A]_-;_-* &quot;-&quot;??\ [$€-C0A]_-;_-@_-"/>
    <numFmt numFmtId="166" formatCode="_-* #,##0.00\ [$€-403]_-;\-* #,##0.00\ [$€-403]_-;_-* &quot;-&quot;??\ [$€-403]_-;_-@_-"/>
    <numFmt numFmtId="167" formatCode="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6"/>
      <color theme="0"/>
      <name val="Calibri"/>
      <family val="2"/>
      <scheme val="minor"/>
    </font>
    <font>
      <b/>
      <sz val="10"/>
      <color theme="1"/>
      <name val="Calibri (Cuerpo)"/>
    </font>
    <font>
      <b/>
      <sz val="14"/>
      <color theme="1"/>
      <name val="Calibri Light"/>
      <family val="2"/>
      <scheme val="major"/>
    </font>
    <font>
      <sz val="11"/>
      <color theme="1"/>
      <name val="Calibri Light"/>
      <family val="2"/>
      <scheme val="major"/>
    </font>
    <font>
      <sz val="11"/>
      <color theme="1"/>
      <name val="Aptos Display"/>
      <family val="2"/>
    </font>
    <font>
      <b/>
      <sz val="10"/>
      <color theme="0"/>
      <name val="Calibri"/>
      <family val="2"/>
      <scheme val="minor"/>
    </font>
    <font>
      <u/>
      <sz val="11"/>
      <color theme="10"/>
      <name val="Calibri"/>
      <family val="2"/>
      <scheme val="minor"/>
    </font>
    <font>
      <sz val="20"/>
      <color theme="1"/>
      <name val="Calibri"/>
      <family val="2"/>
      <scheme val="minor"/>
    </font>
    <font>
      <b/>
      <u/>
      <sz val="28"/>
      <color theme="10"/>
      <name val="Calibri"/>
      <family val="2"/>
      <scheme val="minor"/>
    </font>
    <font>
      <b/>
      <sz val="28"/>
      <color theme="1"/>
      <name val="Calibri"/>
      <family val="2"/>
      <scheme val="minor"/>
    </font>
    <font>
      <i/>
      <sz val="9"/>
      <color rgb="FFFF0000"/>
      <name val="Calibri"/>
      <family val="2"/>
      <scheme val="minor"/>
    </font>
    <font>
      <i/>
      <sz val="11"/>
      <color theme="1"/>
      <name val="Calibri"/>
      <family val="2"/>
      <scheme val="minor"/>
    </font>
    <font>
      <i/>
      <sz val="14"/>
      <color theme="1"/>
      <name val="Calibri"/>
      <family val="2"/>
      <scheme val="minor"/>
    </font>
    <font>
      <b/>
      <sz val="9"/>
      <color theme="1"/>
      <name val="Calibri"/>
      <family val="2"/>
      <scheme val="minor"/>
    </font>
    <font>
      <b/>
      <sz val="14"/>
      <color theme="0"/>
      <name val="Calibri"/>
      <family val="2"/>
      <scheme val="minor"/>
    </font>
    <font>
      <b/>
      <sz val="12"/>
      <color rgb="FF000000"/>
      <name val="Helvetica-Light"/>
    </font>
    <font>
      <b/>
      <sz val="12"/>
      <color rgb="FFFF0000"/>
      <name val="Calibri"/>
      <family val="2"/>
      <scheme val="minor"/>
    </font>
    <font>
      <b/>
      <sz val="24"/>
      <color theme="9" tint="-0.499984740745262"/>
      <name val="Aptos Mono"/>
    </font>
    <font>
      <sz val="24"/>
      <color theme="9" tint="-0.499984740745262"/>
      <name val="Calibri"/>
      <family val="2"/>
      <scheme val="minor"/>
    </font>
  </fonts>
  <fills count="10">
    <fill>
      <patternFill patternType="none"/>
    </fill>
    <fill>
      <patternFill patternType="gray125"/>
    </fill>
    <fill>
      <patternFill patternType="solid">
        <fgColor theme="8" tint="-0.249977111117893"/>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bgColor indexed="64"/>
      </patternFill>
    </fill>
    <fill>
      <patternFill patternType="solid">
        <fgColor theme="2"/>
        <bgColor indexed="64"/>
      </patternFill>
    </fill>
  </fills>
  <borders count="6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auto="1"/>
      </left>
      <right/>
      <top/>
      <bottom style="medium">
        <color indexed="64"/>
      </bottom>
      <diagonal/>
    </border>
    <border>
      <left/>
      <right/>
      <top/>
      <bottom style="double">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auto="1"/>
      </bottom>
      <diagonal/>
    </border>
    <border>
      <left style="thin">
        <color indexed="64"/>
      </left>
      <right style="medium">
        <color indexed="64"/>
      </right>
      <top style="medium">
        <color indexed="64"/>
      </top>
      <bottom/>
      <diagonal/>
    </border>
    <border>
      <left/>
      <right/>
      <top/>
      <bottom style="double">
        <color rgb="FFC00000"/>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164" fontId="5" fillId="0" borderId="0" applyFont="0" applyFill="0" applyBorder="0" applyAlignment="0" applyProtection="0"/>
    <xf numFmtId="0" fontId="14" fillId="0" borderId="0" applyNumberFormat="0" applyFill="0" applyBorder="0" applyAlignment="0" applyProtection="0"/>
  </cellStyleXfs>
  <cellXfs count="217">
    <xf numFmtId="0" fontId="0" fillId="0" borderId="0" xfId="0"/>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6" fillId="0" borderId="0" xfId="0" applyFont="1" applyAlignment="1">
      <alignment vertical="center"/>
    </xf>
    <xf numFmtId="0" fontId="4" fillId="3" borderId="18" xfId="0" applyFont="1" applyFill="1" applyBorder="1" applyAlignment="1">
      <alignment horizontal="center" vertical="center" wrapText="1"/>
    </xf>
    <xf numFmtId="0" fontId="11" fillId="0" borderId="0" xfId="0" applyFont="1" applyAlignment="1">
      <alignment vertical="center"/>
    </xf>
    <xf numFmtId="0" fontId="0" fillId="5" borderId="0" xfId="0" applyFill="1" applyAlignment="1">
      <alignment vertical="center"/>
    </xf>
    <xf numFmtId="0" fontId="0" fillId="0" borderId="0" xfId="0" applyAlignment="1">
      <alignment vertical="center"/>
    </xf>
    <xf numFmtId="165" fontId="6" fillId="0" borderId="21" xfId="0" applyNumberFormat="1" applyFont="1" applyBorder="1" applyAlignment="1">
      <alignment vertical="center"/>
    </xf>
    <xf numFmtId="165" fontId="6" fillId="0" borderId="5" xfId="0" applyNumberFormat="1" applyFont="1" applyBorder="1" applyAlignment="1">
      <alignment vertical="center"/>
    </xf>
    <xf numFmtId="165" fontId="6" fillId="5" borderId="40" xfId="0" applyNumberFormat="1" applyFont="1" applyFill="1" applyBorder="1" applyAlignment="1">
      <alignment vertical="center"/>
    </xf>
    <xf numFmtId="0" fontId="0" fillId="5" borderId="0" xfId="0" applyFill="1" applyAlignment="1">
      <alignment horizontal="center" vertical="center"/>
    </xf>
    <xf numFmtId="165" fontId="0" fillId="5" borderId="0" xfId="0" applyNumberFormat="1" applyFill="1" applyAlignment="1">
      <alignment vertical="center"/>
    </xf>
    <xf numFmtId="165" fontId="2" fillId="5" borderId="5" xfId="0" applyNumberFormat="1" applyFont="1" applyFill="1" applyBorder="1" applyAlignment="1">
      <alignment vertical="center"/>
    </xf>
    <xf numFmtId="0" fontId="2" fillId="5" borderId="0" xfId="0" applyFont="1" applyFill="1" applyAlignment="1">
      <alignment vertical="center"/>
    </xf>
    <xf numFmtId="0" fontId="0" fillId="5" borderId="41" xfId="0" applyFill="1" applyBorder="1" applyAlignment="1">
      <alignment vertical="center"/>
    </xf>
    <xf numFmtId="0" fontId="0" fillId="5" borderId="37" xfId="0" applyFill="1" applyBorder="1" applyAlignment="1">
      <alignment vertical="center"/>
    </xf>
    <xf numFmtId="0" fontId="0" fillId="5" borderId="43" xfId="0" applyFill="1" applyBorder="1" applyAlignment="1">
      <alignment vertical="center"/>
    </xf>
    <xf numFmtId="0" fontId="0" fillId="5" borderId="44" xfId="0" applyFill="1" applyBorder="1" applyAlignment="1">
      <alignment vertical="center"/>
    </xf>
    <xf numFmtId="0" fontId="12" fillId="0" borderId="0" xfId="0" applyFont="1" applyAlignment="1">
      <alignment vertical="center"/>
    </xf>
    <xf numFmtId="0" fontId="12" fillId="0" borderId="0" xfId="0" applyFont="1" applyAlignment="1">
      <alignment horizontal="righ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6" fillId="5" borderId="0" xfId="0" applyFont="1" applyFill="1" applyAlignment="1">
      <alignment vertical="center"/>
    </xf>
    <xf numFmtId="0" fontId="4" fillId="0" borderId="15" xfId="0" applyFont="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64" fontId="0" fillId="0" borderId="0" xfId="1" applyFont="1" applyAlignment="1">
      <alignment vertical="center"/>
    </xf>
    <xf numFmtId="0" fontId="0" fillId="0" borderId="0" xfId="0" applyAlignment="1">
      <alignment horizontal="center" vertical="center"/>
    </xf>
    <xf numFmtId="164" fontId="0" fillId="0" borderId="0" xfId="1" applyFont="1" applyAlignment="1">
      <alignment horizontal="center" vertical="center"/>
    </xf>
    <xf numFmtId="164" fontId="0" fillId="0" borderId="0" xfId="0" applyNumberFormat="1" applyAlignment="1">
      <alignment vertical="center"/>
    </xf>
    <xf numFmtId="0" fontId="0" fillId="0" borderId="0" xfId="0" applyAlignment="1">
      <alignment horizontal="center" vertical="center" wrapText="1"/>
    </xf>
    <xf numFmtId="0" fontId="6" fillId="0" borderId="29" xfId="0" applyFont="1" applyBorder="1" applyAlignment="1" applyProtection="1">
      <alignment horizontal="right" vertical="center"/>
      <protection locked="0"/>
    </xf>
    <xf numFmtId="0" fontId="6" fillId="0" borderId="24" xfId="0" applyFont="1" applyBorder="1" applyAlignment="1" applyProtection="1">
      <alignment horizontal="right" vertical="center"/>
      <protection locked="0"/>
    </xf>
    <xf numFmtId="0" fontId="6" fillId="0" borderId="35" xfId="0" applyFont="1" applyBorder="1" applyAlignment="1" applyProtection="1">
      <alignment horizontal="left" vertical="center"/>
      <protection locked="0"/>
    </xf>
    <xf numFmtId="167" fontId="6" fillId="0" borderId="36" xfId="0" applyNumberFormat="1" applyFont="1" applyBorder="1" applyAlignment="1" applyProtection="1">
      <alignment horizontal="left" vertical="center"/>
      <protection locked="0"/>
    </xf>
    <xf numFmtId="166" fontId="6" fillId="0" borderId="27" xfId="0" applyNumberFormat="1" applyFont="1" applyBorder="1" applyAlignment="1">
      <alignment horizontal="center" vertical="center"/>
    </xf>
    <xf numFmtId="0" fontId="15"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0" fontId="6" fillId="0" borderId="6"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6" fillId="5" borderId="19" xfId="0" applyFont="1" applyFill="1" applyBorder="1" applyAlignment="1">
      <alignment horizontal="right" vertical="center"/>
    </xf>
    <xf numFmtId="0" fontId="6" fillId="5" borderId="0" xfId="0" applyFont="1" applyFill="1" applyAlignment="1">
      <alignment horizontal="right" vertical="center"/>
    </xf>
    <xf numFmtId="0" fontId="6" fillId="5" borderId="10" xfId="0" applyFont="1" applyFill="1" applyBorder="1" applyAlignment="1">
      <alignment vertical="center"/>
    </xf>
    <xf numFmtId="49" fontId="6" fillId="0" borderId="28" xfId="0" applyNumberFormat="1" applyFont="1" applyBorder="1" applyAlignment="1" applyProtection="1">
      <alignment vertical="center"/>
      <protection locked="0"/>
    </xf>
    <xf numFmtId="49" fontId="6" fillId="0" borderId="25" xfId="0" applyNumberFormat="1" applyFont="1" applyBorder="1" applyAlignment="1" applyProtection="1">
      <alignment vertical="center"/>
      <protection locked="0"/>
    </xf>
    <xf numFmtId="0" fontId="4" fillId="0" borderId="20" xfId="0" applyFont="1" applyBorder="1" applyAlignment="1">
      <alignment horizontal="center" vertical="center"/>
    </xf>
    <xf numFmtId="0" fontId="6" fillId="0" borderId="20" xfId="0" applyFont="1" applyBorder="1" applyAlignment="1">
      <alignment vertical="center"/>
    </xf>
    <xf numFmtId="0" fontId="0" fillId="0" borderId="20" xfId="0" applyBorder="1" applyAlignment="1">
      <alignment vertical="center"/>
    </xf>
    <xf numFmtId="0" fontId="2" fillId="0" borderId="0" xfId="0" applyFont="1" applyAlignment="1">
      <alignment horizontal="center" vertical="center"/>
    </xf>
    <xf numFmtId="0" fontId="0" fillId="0" borderId="54" xfId="0" applyBorder="1" applyAlignment="1">
      <alignment vertical="center"/>
    </xf>
    <xf numFmtId="0" fontId="0" fillId="8" borderId="0" xfId="0" applyFill="1" applyAlignment="1">
      <alignment vertical="center"/>
    </xf>
    <xf numFmtId="164" fontId="0" fillId="8" borderId="0" xfId="1" applyFont="1" applyFill="1" applyAlignment="1">
      <alignment vertical="center"/>
    </xf>
    <xf numFmtId="0" fontId="4" fillId="0" borderId="57" xfId="0" applyFont="1" applyBorder="1" applyAlignment="1">
      <alignment vertical="center"/>
    </xf>
    <xf numFmtId="0" fontId="21" fillId="0" borderId="1" xfId="0" applyFont="1" applyBorder="1" applyAlignment="1">
      <alignment vertical="center"/>
    </xf>
    <xf numFmtId="0" fontId="23" fillId="0" borderId="0" xfId="0" applyFont="1"/>
    <xf numFmtId="0" fontId="16" fillId="0" borderId="0" xfId="2" applyFont="1" applyAlignment="1">
      <alignment vertical="center"/>
    </xf>
    <xf numFmtId="165" fontId="0" fillId="5" borderId="61" xfId="0" applyNumberFormat="1" applyFill="1" applyBorder="1" applyAlignment="1">
      <alignment vertical="center"/>
    </xf>
    <xf numFmtId="165" fontId="2" fillId="5" borderId="62" xfId="0" applyNumberFormat="1" applyFont="1" applyFill="1" applyBorder="1" applyAlignment="1">
      <alignment vertical="center"/>
    </xf>
    <xf numFmtId="0" fontId="0" fillId="5" borderId="0" xfId="0" applyFill="1" applyAlignment="1">
      <alignment horizontal="right" vertical="center"/>
    </xf>
    <xf numFmtId="10" fontId="0" fillId="0" borderId="0" xfId="0" applyNumberFormat="1" applyAlignment="1">
      <alignment vertical="center"/>
    </xf>
    <xf numFmtId="9" fontId="0" fillId="0" borderId="0" xfId="0" applyNumberFormat="1" applyAlignment="1">
      <alignment vertical="center"/>
    </xf>
    <xf numFmtId="164" fontId="0" fillId="0" borderId="0" xfId="1" applyFont="1" applyFill="1" applyAlignment="1">
      <alignment vertical="center"/>
    </xf>
    <xf numFmtId="0" fontId="0" fillId="6" borderId="0" xfId="0" applyFill="1" applyAlignment="1">
      <alignment horizontal="center" vertical="center"/>
    </xf>
    <xf numFmtId="0" fontId="0" fillId="6" borderId="0" xfId="0" applyFill="1" applyAlignment="1">
      <alignment vertical="center"/>
    </xf>
    <xf numFmtId="164" fontId="0" fillId="6" borderId="0" xfId="1" applyFont="1" applyFill="1" applyAlignment="1">
      <alignment vertical="center"/>
    </xf>
    <xf numFmtId="164" fontId="0" fillId="6" borderId="0" xfId="0" applyNumberFormat="1" applyFill="1" applyAlignment="1">
      <alignment vertical="center"/>
    </xf>
    <xf numFmtId="0" fontId="2" fillId="6" borderId="0" xfId="0" applyFont="1" applyFill="1" applyAlignment="1">
      <alignment horizontal="center" vertical="center"/>
    </xf>
    <xf numFmtId="164" fontId="2" fillId="6" borderId="0" xfId="0" applyNumberFormat="1" applyFont="1" applyFill="1" applyAlignment="1">
      <alignment vertical="center"/>
    </xf>
    <xf numFmtId="164" fontId="2" fillId="0" borderId="0" xfId="0" applyNumberFormat="1" applyFont="1" applyAlignment="1">
      <alignment vertical="center"/>
    </xf>
    <xf numFmtId="0" fontId="2" fillId="0" borderId="0" xfId="0" applyFont="1" applyAlignment="1">
      <alignment vertical="center"/>
    </xf>
    <xf numFmtId="0" fontId="2" fillId="6" borderId="0" xfId="0" applyFont="1" applyFill="1" applyAlignment="1">
      <alignment vertical="center"/>
    </xf>
    <xf numFmtId="164" fontId="0" fillId="6" borderId="0" xfId="1" applyFont="1" applyFill="1" applyBorder="1" applyAlignment="1">
      <alignment vertical="center"/>
    </xf>
    <xf numFmtId="0" fontId="0" fillId="6" borderId="47" xfId="0" applyFill="1" applyBorder="1" applyAlignment="1">
      <alignment vertical="center"/>
    </xf>
    <xf numFmtId="164" fontId="0" fillId="6" borderId="47" xfId="1" applyFont="1" applyFill="1" applyBorder="1" applyAlignment="1">
      <alignment vertical="center"/>
    </xf>
    <xf numFmtId="0" fontId="24" fillId="0" borderId="0" xfId="0" applyFont="1" applyAlignment="1">
      <alignment vertical="center"/>
    </xf>
    <xf numFmtId="164" fontId="24" fillId="0" borderId="0" xfId="1" applyFont="1" applyAlignment="1">
      <alignment vertical="center"/>
    </xf>
    <xf numFmtId="0" fontId="24" fillId="0" borderId="0" xfId="0" applyFont="1" applyAlignment="1">
      <alignment horizontal="center" vertical="center"/>
    </xf>
    <xf numFmtId="0" fontId="24" fillId="6" borderId="0" xfId="0" applyFont="1" applyFill="1" applyAlignment="1">
      <alignment vertical="center"/>
    </xf>
    <xf numFmtId="0" fontId="26" fillId="0" borderId="0" xfId="0" applyFont="1"/>
    <xf numFmtId="0" fontId="2" fillId="5" borderId="38" xfId="0" applyFont="1" applyFill="1" applyBorder="1" applyAlignment="1">
      <alignment horizontal="right" vertical="center"/>
    </xf>
    <xf numFmtId="0" fontId="0" fillId="5" borderId="10" xfId="0" applyFill="1" applyBorder="1" applyAlignment="1">
      <alignment vertical="center"/>
    </xf>
    <xf numFmtId="0" fontId="0" fillId="5" borderId="11" xfId="0" applyFill="1" applyBorder="1" applyAlignment="1">
      <alignment vertical="center"/>
    </xf>
    <xf numFmtId="0" fontId="0" fillId="5" borderId="13" xfId="0" applyFill="1" applyBorder="1" applyAlignment="1">
      <alignment vertical="center"/>
    </xf>
    <xf numFmtId="0" fontId="2" fillId="5" borderId="15" xfId="0" applyFont="1" applyFill="1" applyBorder="1" applyAlignment="1">
      <alignment vertical="center"/>
    </xf>
    <xf numFmtId="0" fontId="0" fillId="5" borderId="15" xfId="0" applyFill="1" applyBorder="1" applyAlignment="1">
      <alignment vertical="center"/>
    </xf>
    <xf numFmtId="0" fontId="0" fillId="5" borderId="16" xfId="0" applyFill="1" applyBorder="1" applyAlignment="1">
      <alignment vertical="center"/>
    </xf>
    <xf numFmtId="0" fontId="25" fillId="0" borderId="0" xfId="0" applyFont="1" applyAlignment="1">
      <alignment horizontal="center" vertical="center"/>
    </xf>
    <xf numFmtId="0" fontId="16" fillId="0" borderId="0" xfId="2" applyFont="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0" xfId="0" applyFont="1" applyFill="1" applyAlignment="1">
      <alignment horizontal="center" vertical="center"/>
    </xf>
    <xf numFmtId="0" fontId="22" fillId="2" borderId="14" xfId="0" applyFont="1" applyFill="1" applyBorder="1" applyAlignment="1">
      <alignment horizontal="center" vertical="center"/>
    </xf>
    <xf numFmtId="0" fontId="22" fillId="2" borderId="15" xfId="0" applyFont="1" applyFill="1" applyBorder="1" applyAlignment="1">
      <alignment horizontal="center" vertical="center"/>
    </xf>
    <xf numFmtId="0" fontId="0" fillId="6" borderId="27" xfId="0" applyFill="1" applyBorder="1" applyAlignment="1">
      <alignment horizontal="left" vertical="center"/>
    </xf>
    <xf numFmtId="0" fontId="0" fillId="6" borderId="28" xfId="0" applyFill="1" applyBorder="1" applyAlignment="1">
      <alignment horizontal="left" vertical="center"/>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3" fillId="4" borderId="0" xfId="0" applyFont="1" applyFill="1" applyAlignment="1">
      <alignment horizontal="center" vertical="center"/>
    </xf>
    <xf numFmtId="0" fontId="4" fillId="3" borderId="50"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2" fillId="5" borderId="0" xfId="0" applyFont="1" applyFill="1" applyAlignment="1">
      <alignment horizontal="right" vertical="center"/>
    </xf>
    <xf numFmtId="0" fontId="0" fillId="5" borderId="0" xfId="0" applyFill="1" applyAlignment="1">
      <alignment horizontal="right" vertical="center"/>
    </xf>
    <xf numFmtId="0" fontId="6" fillId="5" borderId="0" xfId="0" applyFont="1" applyFill="1" applyAlignment="1">
      <alignment horizontal="left" vertical="center" wrapText="1"/>
    </xf>
    <xf numFmtId="0" fontId="6" fillId="5" borderId="13"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0" borderId="27"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49" xfId="0" applyFont="1" applyFill="1" applyBorder="1" applyAlignment="1">
      <alignment horizontal="center" vertical="center"/>
    </xf>
    <xf numFmtId="0" fontId="4" fillId="0" borderId="55" xfId="0" applyFont="1" applyBorder="1" applyAlignment="1">
      <alignment horizontal="left" vertical="center"/>
    </xf>
    <xf numFmtId="0" fontId="4" fillId="0" borderId="18" xfId="0" applyFont="1" applyBorder="1" applyAlignment="1">
      <alignment horizontal="left" vertical="center"/>
    </xf>
    <xf numFmtId="0" fontId="4" fillId="0" borderId="33" xfId="0" applyFont="1" applyBorder="1" applyAlignment="1">
      <alignment horizontal="left" vertical="center"/>
    </xf>
    <xf numFmtId="0" fontId="4" fillId="0" borderId="25" xfId="0" applyFont="1" applyBorder="1" applyAlignment="1">
      <alignment horizontal="left" vertical="center"/>
    </xf>
    <xf numFmtId="0" fontId="6" fillId="0" borderId="1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4" fillId="3" borderId="17"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0" fontId="4" fillId="0" borderId="6"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10" fillId="5" borderId="0" xfId="0" applyFont="1" applyFill="1" applyAlignment="1">
      <alignment horizontal="center" vertical="center"/>
    </xf>
    <xf numFmtId="0" fontId="6" fillId="0" borderId="4"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4" fillId="0" borderId="58" xfId="0" applyFont="1" applyBorder="1" applyAlignment="1">
      <alignment horizontal="left" vertical="center"/>
    </xf>
    <xf numFmtId="0" fontId="4" fillId="0" borderId="28" xfId="0" applyFont="1" applyBorder="1" applyAlignment="1">
      <alignment horizontal="lef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center" vertical="center"/>
    </xf>
    <xf numFmtId="0" fontId="4" fillId="0" borderId="42" xfId="0" applyFont="1" applyBorder="1" applyAlignment="1">
      <alignment horizontal="left" vertical="center"/>
    </xf>
    <xf numFmtId="0" fontId="4" fillId="0" borderId="44" xfId="0" applyFont="1" applyBorder="1" applyAlignment="1">
      <alignment horizontal="left" vertical="center"/>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2" fillId="9" borderId="60"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0" fillId="9" borderId="42" xfId="0" applyFill="1" applyBorder="1" applyAlignment="1">
      <alignment horizontal="center" vertical="center"/>
    </xf>
    <xf numFmtId="0" fontId="0" fillId="9" borderId="43" xfId="0" applyFill="1" applyBorder="1" applyAlignment="1">
      <alignment horizontal="center" vertical="center"/>
    </xf>
    <xf numFmtId="0" fontId="0" fillId="9" borderId="59" xfId="0" applyFill="1" applyBorder="1" applyAlignment="1">
      <alignment horizontal="center" vertical="center"/>
    </xf>
    <xf numFmtId="0" fontId="18" fillId="7" borderId="27"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6" fillId="0" borderId="23"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5" xfId="0" applyFont="1" applyBorder="1" applyAlignment="1" applyProtection="1">
      <alignment vertical="center"/>
      <protection locked="0"/>
    </xf>
    <xf numFmtId="164" fontId="4" fillId="0" borderId="37" xfId="1" applyFont="1" applyBorder="1" applyAlignment="1">
      <alignment horizontal="center" vertical="center"/>
    </xf>
    <xf numFmtId="164" fontId="4" fillId="0" borderId="38" xfId="1" applyFont="1" applyBorder="1" applyAlignment="1">
      <alignment horizontal="center" vertical="center"/>
    </xf>
    <xf numFmtId="164" fontId="4" fillId="0" borderId="39" xfId="1" applyFont="1" applyBorder="1" applyAlignment="1">
      <alignment horizontal="center" vertical="center"/>
    </xf>
    <xf numFmtId="0" fontId="8" fillId="2" borderId="9" xfId="0" applyFont="1" applyFill="1" applyBorder="1" applyAlignment="1">
      <alignment horizontal="center" vertical="center"/>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19" fillId="5" borderId="0" xfId="0" applyFont="1" applyFill="1" applyAlignment="1">
      <alignment horizontal="center" vertical="center"/>
    </xf>
    <xf numFmtId="0" fontId="19" fillId="5" borderId="13"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16" xfId="0" applyFont="1" applyFill="1" applyBorder="1" applyAlignment="1">
      <alignment horizontal="center" vertical="center"/>
    </xf>
    <xf numFmtId="0" fontId="7" fillId="5" borderId="34" xfId="0" applyFont="1" applyFill="1" applyBorder="1" applyAlignment="1">
      <alignment horizontal="right" vertical="center"/>
    </xf>
    <xf numFmtId="0" fontId="7" fillId="5" borderId="41" xfId="0" applyFont="1" applyFill="1" applyBorder="1" applyAlignment="1">
      <alignment horizontal="right" vertical="center"/>
    </xf>
    <xf numFmtId="0" fontId="7" fillId="5" borderId="45" xfId="0" applyFont="1" applyFill="1" applyBorder="1" applyAlignment="1">
      <alignment horizontal="right" vertical="center"/>
    </xf>
    <xf numFmtId="0" fontId="7" fillId="5" borderId="0" xfId="0" applyFont="1" applyFill="1" applyAlignment="1">
      <alignment horizontal="right" vertical="center"/>
    </xf>
    <xf numFmtId="0" fontId="7" fillId="5" borderId="46" xfId="0" applyFont="1" applyFill="1" applyBorder="1" applyAlignment="1">
      <alignment horizontal="right" vertical="center"/>
    </xf>
    <xf numFmtId="0" fontId="7" fillId="5" borderId="15" xfId="0" applyFont="1" applyFill="1" applyBorder="1" applyAlignment="1">
      <alignment horizontal="right" vertical="center"/>
    </xf>
    <xf numFmtId="0" fontId="6" fillId="5" borderId="0" xfId="0" applyFont="1" applyFill="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22" fillId="2" borderId="34"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43" xfId="0" applyFont="1" applyFill="1" applyBorder="1" applyAlignment="1">
      <alignment horizontal="center" vertical="center"/>
    </xf>
    <xf numFmtId="0" fontId="24" fillId="6" borderId="0" xfId="0" applyFont="1" applyFill="1" applyAlignment="1">
      <alignment horizontal="center" vertical="center"/>
    </xf>
    <xf numFmtId="0" fontId="0" fillId="0" borderId="20" xfId="0" applyBorder="1" applyAlignment="1">
      <alignment horizontal="center" vertical="center"/>
    </xf>
  </cellXfs>
  <cellStyles count="3">
    <cellStyle name="Enllaç" xfId="2" builtinId="8"/>
    <cellStyle name="Moneda" xfId="1" builtinId="4"/>
    <cellStyle name="Normal" xfId="0" builtinId="0"/>
  </cellStyles>
  <dxfs count="6">
    <dxf>
      <font>
        <b/>
        <i val="0"/>
      </font>
      <fill>
        <patternFill>
          <bgColor theme="7" tint="0.59996337778862885"/>
        </patternFill>
      </fill>
    </dxf>
    <dxf>
      <font>
        <b/>
        <i val="0"/>
      </font>
      <fill>
        <patternFill>
          <bgColor rgb="FFFF0000"/>
        </patternFill>
      </fill>
    </dxf>
    <dxf>
      <font>
        <b/>
        <i val="0"/>
      </font>
      <fill>
        <patternFill>
          <bgColor theme="7" tint="0.59996337778862885"/>
        </patternFill>
      </fill>
    </dxf>
    <dxf>
      <font>
        <b/>
        <i val="0"/>
      </font>
      <fill>
        <patternFill>
          <bgColor rgb="FFFF0000"/>
        </patternFill>
      </fill>
    </dxf>
    <dxf>
      <font>
        <b/>
        <i val="0"/>
      </font>
      <fill>
        <patternFill>
          <bgColor theme="7" tint="0.59996337778862885"/>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205102</xdr:colOff>
      <xdr:row>0</xdr:row>
      <xdr:rowOff>134804</xdr:rowOff>
    </xdr:from>
    <xdr:to>
      <xdr:col>11</xdr:col>
      <xdr:colOff>571501</xdr:colOff>
      <xdr:row>6</xdr:row>
      <xdr:rowOff>6350</xdr:rowOff>
    </xdr:to>
    <xdr:pic>
      <xdr:nvPicPr>
        <xdr:cNvPr id="2" name="Imagen 1">
          <a:extLst>
            <a:ext uri="{FF2B5EF4-FFF2-40B4-BE49-F238E27FC236}">
              <a16:creationId xmlns:a16="http://schemas.microsoft.com/office/drawing/2014/main" id="{AD604E68-E959-FBAB-B2FA-DCA0D6417189}"/>
            </a:ext>
          </a:extLst>
        </xdr:cNvPr>
        <xdr:cNvPicPr>
          <a:picLocks noChangeAspect="1"/>
        </xdr:cNvPicPr>
      </xdr:nvPicPr>
      <xdr:blipFill>
        <a:blip xmlns:r="http://schemas.openxmlformats.org/officeDocument/2006/relationships" r:embed="rId1"/>
        <a:stretch>
          <a:fillRect/>
        </a:stretch>
      </xdr:blipFill>
      <xdr:spPr>
        <a:xfrm>
          <a:off x="7120252" y="134804"/>
          <a:ext cx="1877699" cy="976446"/>
        </a:xfrm>
        <a:prstGeom prst="rect">
          <a:avLst/>
        </a:prstGeom>
      </xdr:spPr>
    </xdr:pic>
    <xdr:clientData/>
  </xdr:twoCellAnchor>
  <xdr:twoCellAnchor editAs="oneCell">
    <xdr:from>
      <xdr:col>0</xdr:col>
      <xdr:colOff>285749</xdr:colOff>
      <xdr:row>1</xdr:row>
      <xdr:rowOff>69850</xdr:rowOff>
    </xdr:from>
    <xdr:to>
      <xdr:col>1</xdr:col>
      <xdr:colOff>457964</xdr:colOff>
      <xdr:row>7</xdr:row>
      <xdr:rowOff>88900</xdr:rowOff>
    </xdr:to>
    <xdr:pic>
      <xdr:nvPicPr>
        <xdr:cNvPr id="3" name="Imagen 2">
          <a:extLst>
            <a:ext uri="{FF2B5EF4-FFF2-40B4-BE49-F238E27FC236}">
              <a16:creationId xmlns:a16="http://schemas.microsoft.com/office/drawing/2014/main" id="{E5076DDD-FA62-AACC-5BF2-97BC013E3035}"/>
            </a:ext>
          </a:extLst>
        </xdr:cNvPr>
        <xdr:cNvPicPr>
          <a:picLocks noChangeAspect="1"/>
        </xdr:cNvPicPr>
      </xdr:nvPicPr>
      <xdr:blipFill>
        <a:blip xmlns:r="http://schemas.openxmlformats.org/officeDocument/2006/relationships" r:embed="rId2"/>
        <a:stretch>
          <a:fillRect/>
        </a:stretch>
      </xdr:blipFill>
      <xdr:spPr>
        <a:xfrm>
          <a:off x="285749" y="260350"/>
          <a:ext cx="997715" cy="1162050"/>
        </a:xfrm>
        <a:prstGeom prst="rect">
          <a:avLst/>
        </a:prstGeom>
      </xdr:spPr>
    </xdr:pic>
    <xdr:clientData/>
  </xdr:twoCellAnchor>
  <xdr:twoCellAnchor editAs="oneCell">
    <xdr:from>
      <xdr:col>4</xdr:col>
      <xdr:colOff>1371600</xdr:colOff>
      <xdr:row>1</xdr:row>
      <xdr:rowOff>76200</xdr:rowOff>
    </xdr:from>
    <xdr:to>
      <xdr:col>6</xdr:col>
      <xdr:colOff>208284</xdr:colOff>
      <xdr:row>5</xdr:row>
      <xdr:rowOff>152400</xdr:rowOff>
    </xdr:to>
    <xdr:pic>
      <xdr:nvPicPr>
        <xdr:cNvPr id="4" name="Imagen 3">
          <a:extLst>
            <a:ext uri="{FF2B5EF4-FFF2-40B4-BE49-F238E27FC236}">
              <a16:creationId xmlns:a16="http://schemas.microsoft.com/office/drawing/2014/main" id="{A69A692E-8E16-9934-1CF1-0A6DA912C31D}"/>
            </a:ext>
          </a:extLst>
        </xdr:cNvPr>
        <xdr:cNvPicPr>
          <a:picLocks noChangeAspect="1"/>
        </xdr:cNvPicPr>
      </xdr:nvPicPr>
      <xdr:blipFill>
        <a:blip xmlns:r="http://schemas.openxmlformats.org/officeDocument/2006/relationships" r:embed="rId3"/>
        <a:stretch>
          <a:fillRect/>
        </a:stretch>
      </xdr:blipFill>
      <xdr:spPr>
        <a:xfrm>
          <a:off x="3987800" y="266700"/>
          <a:ext cx="1300484" cy="838200"/>
        </a:xfrm>
        <a:prstGeom prst="rect">
          <a:avLst/>
        </a:prstGeom>
      </xdr:spPr>
    </xdr:pic>
    <xdr:clientData/>
  </xdr:twoCellAnchor>
  <xdr:twoCellAnchor editAs="oneCell">
    <xdr:from>
      <xdr:col>0</xdr:col>
      <xdr:colOff>0</xdr:colOff>
      <xdr:row>11</xdr:row>
      <xdr:rowOff>368300</xdr:rowOff>
    </xdr:from>
    <xdr:to>
      <xdr:col>2</xdr:col>
      <xdr:colOff>766303</xdr:colOff>
      <xdr:row>36</xdr:row>
      <xdr:rowOff>19050</xdr:rowOff>
    </xdr:to>
    <xdr:pic>
      <xdr:nvPicPr>
        <xdr:cNvPr id="6" name="Imatge 5">
          <a:extLst>
            <a:ext uri="{FF2B5EF4-FFF2-40B4-BE49-F238E27FC236}">
              <a16:creationId xmlns:a16="http://schemas.microsoft.com/office/drawing/2014/main" id="{54FF0735-87BD-0D19-0B6C-C7D2FF65517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068" r="18458"/>
        <a:stretch/>
      </xdr:blipFill>
      <xdr:spPr>
        <a:xfrm>
          <a:off x="0" y="3632200"/>
          <a:ext cx="2417303" cy="4857750"/>
        </a:xfrm>
        <a:prstGeom prst="rect">
          <a:avLst/>
        </a:prstGeom>
      </xdr:spPr>
    </xdr:pic>
    <xdr:clientData/>
  </xdr:twoCellAnchor>
  <xdr:twoCellAnchor>
    <xdr:from>
      <xdr:col>5</xdr:col>
      <xdr:colOff>311150</xdr:colOff>
      <xdr:row>11</xdr:row>
      <xdr:rowOff>38100</xdr:rowOff>
    </xdr:from>
    <xdr:to>
      <xdr:col>13</xdr:col>
      <xdr:colOff>711200</xdr:colOff>
      <xdr:row>26</xdr:row>
      <xdr:rowOff>12700</xdr:rowOff>
    </xdr:to>
    <xdr:sp macro="" textlink="">
      <xdr:nvSpPr>
        <xdr:cNvPr id="8" name="CuadroTexto 7">
          <a:extLst>
            <a:ext uri="{FF2B5EF4-FFF2-40B4-BE49-F238E27FC236}">
              <a16:creationId xmlns:a16="http://schemas.microsoft.com/office/drawing/2014/main" id="{1FFAEBE9-F742-BAF2-2575-2C18B1F9C083}"/>
            </a:ext>
          </a:extLst>
        </xdr:cNvPr>
        <xdr:cNvSpPr txBox="1"/>
      </xdr:nvSpPr>
      <xdr:spPr>
        <a:xfrm>
          <a:off x="4565650" y="3302000"/>
          <a:ext cx="7004050" cy="3276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i="0" u="none" strike="noStrike">
              <a:solidFill>
                <a:schemeClr val="dk1"/>
              </a:solidFill>
              <a:effectLst/>
              <a:latin typeface="Aptos Display" panose="020B0004020202020204" pitchFamily="34" charset="0"/>
              <a:ea typeface="+mn-ea"/>
              <a:cs typeface="+mn-cs"/>
            </a:rPr>
            <a:t>MORRUT DE MIANES</a:t>
          </a:r>
        </a:p>
        <a:p>
          <a:endParaRPr lang="es-ES" sz="1100" b="1" i="0" u="none" strike="noStrike">
            <a:solidFill>
              <a:schemeClr val="dk1"/>
            </a:solidFill>
            <a:effectLst/>
            <a:latin typeface="Aptos Display" panose="020B0004020202020204" pitchFamily="34" charset="0"/>
            <a:ea typeface="+mn-ea"/>
            <a:cs typeface="+mn-cs"/>
          </a:endParaRPr>
        </a:p>
        <a:p>
          <a:r>
            <a:rPr lang="es-ES" sz="1100" b="1" i="0" u="none" strike="noStrike">
              <a:solidFill>
                <a:schemeClr val="dk1"/>
              </a:solidFill>
              <a:effectLst/>
              <a:latin typeface="Aptos Display" panose="020B0004020202020204" pitchFamily="34" charset="0"/>
              <a:ea typeface="+mn-ea"/>
              <a:cs typeface="+mn-cs"/>
            </a:rPr>
            <a:t>CAT</a:t>
          </a:r>
        </a:p>
        <a:p>
          <a:pPr marL="0" marR="0" lvl="0" indent="0" defTabSz="914400" eaLnBrk="1" fontAlgn="auto" latinLnBrk="0" hangingPunct="1">
            <a:lnSpc>
              <a:spcPct val="100000"/>
            </a:lnSpc>
            <a:spcBef>
              <a:spcPts val="0"/>
            </a:spcBef>
            <a:spcAft>
              <a:spcPts val="0"/>
            </a:spcAft>
            <a:buClrTx/>
            <a:buSzTx/>
            <a:buFontTx/>
            <a:buNone/>
            <a:tabLst/>
            <a:defRPr/>
          </a:pPr>
          <a:r>
            <a:rPr lang="es-ES_tradnl" sz="1100">
              <a:solidFill>
                <a:schemeClr val="dk1"/>
              </a:solidFill>
              <a:effectLst/>
              <a:latin typeface="Aptos Display" panose="020B0004020202020204" pitchFamily="34" charset="0"/>
              <a:ea typeface="+mn-ea"/>
              <a:cs typeface="+mn-cs"/>
            </a:rPr>
            <a:t>Originària de Mianes (Vinallop), el seu nom fa referència a la presència d'un mugró gran al punt estilar de l'oliva. Es cultiva principalment a la zona del Baix Ebre – Montsià, destacant els municipis de Reguers, Roquetes i Mas de Barberans. És un oli força amarg i picant, ben equilibrat en dolçor i una mica aspre si procedeix d'olives verdes. D'un afruitat mitjà-alt, amb aromes secundàries de tipus verd, destacant fulles, carxofes i ametlla, i de tipus madur, principalment poma. Un producte de proximitat amb la garantia del segell Terres de l´Ebre Reserva de la Biosfera, un aval internacional que certifica que ha estat cultivat en aquesta zona respectant l´entorn i fomentant valors sostenibles.</a:t>
          </a:r>
          <a:endParaRPr lang="ca-ES">
            <a:effectLst/>
            <a:latin typeface="Aptos Display" panose="020B0004020202020204" pitchFamily="34" charset="0"/>
          </a:endParaRPr>
        </a:p>
        <a:p>
          <a:endParaRPr lang="es-ES" sz="1100" b="0" i="0" u="none" strike="noStrike">
            <a:solidFill>
              <a:schemeClr val="dk1"/>
            </a:solidFill>
            <a:effectLst/>
            <a:latin typeface="Aptos Display" panose="020B0004020202020204" pitchFamily="34" charset="0"/>
            <a:ea typeface="+mn-ea"/>
            <a:cs typeface="+mn-cs"/>
          </a:endParaRPr>
        </a:p>
        <a:p>
          <a:r>
            <a:rPr lang="es-ES" sz="1100" b="1" i="0" u="none" strike="noStrike">
              <a:solidFill>
                <a:schemeClr val="dk1"/>
              </a:solidFill>
              <a:effectLst/>
              <a:latin typeface="Aptos Display" panose="020B0004020202020204" pitchFamily="34" charset="0"/>
              <a:ea typeface="+mn-ea"/>
              <a:cs typeface="+mn-cs"/>
            </a:rPr>
            <a:t>CAST</a:t>
          </a:r>
        </a:p>
        <a:p>
          <a:r>
            <a:rPr lang="es-ES" sz="1100" b="0" i="0" u="none" strike="noStrike">
              <a:solidFill>
                <a:schemeClr val="dk1"/>
              </a:solidFill>
              <a:effectLst/>
              <a:latin typeface="Aptos Display" panose="020B0004020202020204" pitchFamily="34" charset="0"/>
              <a:ea typeface="+mn-ea"/>
              <a:cs typeface="+mn-cs"/>
            </a:rPr>
            <a:t>Originaria de Mianes (Vinallop), su nombre hace referencia a la presencia de un pezón grande en el punto estilar de la aceituna. Se cultiva principalmente en la zona del Baix Ebre – Montsià , destacando los municipios de Reguers, Roquetes y Mas de Barberans. Es un aceite bastante amargo y picante, bien equilibrado en dulzura y algo áspero si procede de aceitunas verdes. De un afrutado medio-alto, con aromas secundarios de tipo verde, destacando hojas, alcachofas y almendra, y de tipo maduro, principalmente manzana. Un producto de proximidad con la garantía del sello Terres de l’Ebre Reserva de la Biosfera, un aval internacional que certifica que ha sido cultivado en esta zona respetando el entorno y fomentando valores sostenibles.</a:t>
          </a:r>
        </a:p>
        <a:p>
          <a:br>
            <a:rPr lang="es-ES" sz="1100" b="0" i="0" u="none" strike="noStrike">
              <a:solidFill>
                <a:schemeClr val="dk1"/>
              </a:solidFill>
              <a:effectLst/>
              <a:latin typeface="Aptos Display" panose="020B0004020202020204" pitchFamily="34" charset="0"/>
              <a:ea typeface="+mn-ea"/>
              <a:cs typeface="+mn-cs"/>
            </a:rPr>
          </a:br>
          <a:endParaRPr lang="es-ES" sz="1100" b="0" i="0" u="none" strike="noStrike">
            <a:solidFill>
              <a:schemeClr val="dk1"/>
            </a:solidFill>
            <a:effectLst/>
            <a:latin typeface="Aptos Display" panose="020B0004020202020204" pitchFamily="34" charset="0"/>
            <a:ea typeface="+mn-ea"/>
            <a:cs typeface="+mn-cs"/>
          </a:endParaRPr>
        </a:p>
      </xdr:txBody>
    </xdr:sp>
    <xdr:clientData/>
  </xdr:twoCellAnchor>
  <xdr:twoCellAnchor>
    <xdr:from>
      <xdr:col>5</xdr:col>
      <xdr:colOff>298450</xdr:colOff>
      <xdr:row>27</xdr:row>
      <xdr:rowOff>50800</xdr:rowOff>
    </xdr:from>
    <xdr:to>
      <xdr:col>13</xdr:col>
      <xdr:colOff>736600</xdr:colOff>
      <xdr:row>44</xdr:row>
      <xdr:rowOff>158750</xdr:rowOff>
    </xdr:to>
    <xdr:sp macro="" textlink="">
      <xdr:nvSpPr>
        <xdr:cNvPr id="9" name="CuadroTexto 8">
          <a:extLst>
            <a:ext uri="{FF2B5EF4-FFF2-40B4-BE49-F238E27FC236}">
              <a16:creationId xmlns:a16="http://schemas.microsoft.com/office/drawing/2014/main" id="{4112A448-1712-20F7-0416-0E5E7629FC49}"/>
            </a:ext>
          </a:extLst>
        </xdr:cNvPr>
        <xdr:cNvSpPr txBox="1"/>
      </xdr:nvSpPr>
      <xdr:spPr>
        <a:xfrm>
          <a:off x="4552950" y="6807200"/>
          <a:ext cx="7042150" cy="3346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400" b="1" kern="1200">
              <a:latin typeface="Aptos Display" panose="020B0004020202020204" pitchFamily="34" charset="0"/>
            </a:rPr>
            <a:t>OLI</a:t>
          </a:r>
          <a:r>
            <a:rPr lang="es-ES_tradnl" sz="1400" b="1" kern="1200" baseline="0">
              <a:latin typeface="Aptos Display" panose="020B0004020202020204" pitchFamily="34" charset="0"/>
            </a:rPr>
            <a:t> DE LA IAIA</a:t>
          </a:r>
          <a:endParaRPr lang="es-ES_tradnl" sz="1400" b="1" kern="1200">
            <a:latin typeface="Aptos Display" panose="020B0004020202020204" pitchFamily="34" charset="0"/>
          </a:endParaRPr>
        </a:p>
        <a:p>
          <a:endParaRPr lang="es-ES_tradnl" sz="1100" kern="1200">
            <a:latin typeface="Aptos Display" panose="020B0004020202020204" pitchFamily="34" charset="0"/>
          </a:endParaRPr>
        </a:p>
        <a:p>
          <a:r>
            <a:rPr lang="es-ES_tradnl" sz="1100" b="1" kern="1200">
              <a:latin typeface="Aptos Display" panose="020B0004020202020204" pitchFamily="34" charset="0"/>
            </a:rPr>
            <a:t>CAT</a:t>
          </a:r>
        </a:p>
        <a:p>
          <a:r>
            <a:rPr lang="es-ES_tradnl" sz="1100" kern="1200">
              <a:latin typeface="Aptos Display" panose="020B0004020202020204" pitchFamily="34" charset="0"/>
            </a:rPr>
            <a:t>La varietat panisello es cultiva fonamentalment a la comarca del Baix Ebre, en concret al municipi de Tortosa. Oli afruitat verd amb matisos verds i madurs. És ric en àcid oleic. En boca presenta un lleuger picant que equilibra de manera agradable</a:t>
          </a:r>
          <a:r>
            <a:rPr lang="es-ES_tradnl" sz="1100" kern="1200" baseline="0">
              <a:latin typeface="Aptos Display" panose="020B0004020202020204" pitchFamily="34" charset="0"/>
            </a:rPr>
            <a:t> amb </a:t>
          </a:r>
          <a:r>
            <a:rPr lang="es-ES_tradnl" sz="1100" kern="1200">
              <a:latin typeface="Aptos Display" panose="020B0004020202020204" pitchFamily="34" charset="0"/>
            </a:rPr>
            <a:t>dolç i amarg. La seva astringència es percep de baixa intensitat. Un producte de proximitat amb la garantia del segell Terres de l´Ebre Reserva de la Biosfera, un aval internacional que certifica que ha estat cultivat en aquesta zona respectant l´entorn i fomentant valors sostenibles.</a:t>
          </a:r>
        </a:p>
        <a:p>
          <a:endParaRPr lang="es-ES_tradnl" sz="1100" kern="1200">
            <a:latin typeface="Aptos Display" panose="020B00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a:solidFill>
                <a:schemeClr val="dk1"/>
              </a:solidFill>
              <a:effectLst/>
              <a:latin typeface="Aptos Display" panose="020B0004020202020204" pitchFamily="34" charset="0"/>
              <a:ea typeface="+mn-ea"/>
              <a:cs typeface="+mn-cs"/>
            </a:rPr>
            <a:t>CAST</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a:solidFill>
                <a:schemeClr val="dk1"/>
              </a:solidFill>
              <a:effectLst/>
              <a:latin typeface="Aptos Display" panose="020B0004020202020204" pitchFamily="34" charset="0"/>
              <a:ea typeface="+mn-ea"/>
              <a:cs typeface="+mn-cs"/>
            </a:rPr>
            <a:t>La variedad panisello se cultiva fundamentalmente en la comarca del Baix Ebre, en concreto al municipio de Tortosa. Aceite afrutado verde con matices verdes y maduros. Es rico en ácido oleic. En boca presenta un ligero picante que equilibra de manera agradable lo dulce y lo amargo. Su astringencia se percibe de baja intensidad. Un producto de proximidad con la garantía del sello Terres de l’Ebre Reserva de la Biosfera, un aval internacional que certifica que ha sido cultivado en esta zona respetando el entorno y fomentando valores sostenibles.</a:t>
          </a:r>
          <a:endParaRPr lang="ca-ES">
            <a:effectLst/>
            <a:latin typeface="Aptos Display" panose="020B0004020202020204" pitchFamily="34" charset="0"/>
          </a:endParaRPr>
        </a:p>
      </xdr:txBody>
    </xdr:sp>
    <xdr:clientData/>
  </xdr:twoCellAnchor>
  <xdr:twoCellAnchor editAs="oneCell">
    <xdr:from>
      <xdr:col>3</xdr:col>
      <xdr:colOff>25402</xdr:colOff>
      <xdr:row>11</xdr:row>
      <xdr:rowOff>127000</xdr:rowOff>
    </xdr:from>
    <xdr:to>
      <xdr:col>4</xdr:col>
      <xdr:colOff>1622748</xdr:colOff>
      <xdr:row>25</xdr:row>
      <xdr:rowOff>141566</xdr:rowOff>
    </xdr:to>
    <xdr:pic>
      <xdr:nvPicPr>
        <xdr:cNvPr id="10" name="Imagen 9">
          <a:extLst>
            <a:ext uri="{FF2B5EF4-FFF2-40B4-BE49-F238E27FC236}">
              <a16:creationId xmlns:a16="http://schemas.microsoft.com/office/drawing/2014/main" id="{C0115425-2ADA-44D6-6DD8-D7DE07C9E47F}"/>
            </a:ext>
          </a:extLst>
        </xdr:cNvPr>
        <xdr:cNvPicPr>
          <a:picLocks noChangeAspect="1"/>
        </xdr:cNvPicPr>
      </xdr:nvPicPr>
      <xdr:blipFill>
        <a:blip xmlns:r="http://schemas.openxmlformats.org/officeDocument/2006/relationships" r:embed="rId5"/>
        <a:stretch>
          <a:fillRect/>
        </a:stretch>
      </xdr:blipFill>
      <xdr:spPr>
        <a:xfrm>
          <a:off x="2501902" y="3390900"/>
          <a:ext cx="1737046" cy="3126066"/>
        </a:xfrm>
        <a:prstGeom prst="rect">
          <a:avLst/>
        </a:prstGeom>
      </xdr:spPr>
    </xdr:pic>
    <xdr:clientData/>
  </xdr:twoCellAnchor>
  <xdr:twoCellAnchor editAs="oneCell">
    <xdr:from>
      <xdr:col>2</xdr:col>
      <xdr:colOff>720596</xdr:colOff>
      <xdr:row>26</xdr:row>
      <xdr:rowOff>177800</xdr:rowOff>
    </xdr:from>
    <xdr:to>
      <xdr:col>4</xdr:col>
      <xdr:colOff>1521559</xdr:colOff>
      <xdr:row>43</xdr:row>
      <xdr:rowOff>95382</xdr:rowOff>
    </xdr:to>
    <xdr:pic>
      <xdr:nvPicPr>
        <xdr:cNvPr id="11" name="Imagen 10">
          <a:extLst>
            <a:ext uri="{FF2B5EF4-FFF2-40B4-BE49-F238E27FC236}">
              <a16:creationId xmlns:a16="http://schemas.microsoft.com/office/drawing/2014/main" id="{FC272594-157D-3395-9C56-B32791E50F2F}"/>
            </a:ext>
          </a:extLst>
        </xdr:cNvPr>
        <xdr:cNvPicPr>
          <a:picLocks noChangeAspect="1"/>
        </xdr:cNvPicPr>
      </xdr:nvPicPr>
      <xdr:blipFill>
        <a:blip xmlns:r="http://schemas.openxmlformats.org/officeDocument/2006/relationships" r:embed="rId6"/>
        <a:stretch>
          <a:fillRect/>
        </a:stretch>
      </xdr:blipFill>
      <xdr:spPr>
        <a:xfrm>
          <a:off x="2371596" y="6743700"/>
          <a:ext cx="1766163" cy="31560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5B3E-1C92-F040-AE40-74FD75546FC0}">
  <dimension ref="A8:L23"/>
  <sheetViews>
    <sheetView showGridLines="0" tabSelected="1" zoomScaleNormal="100" zoomScaleSheetLayoutView="100" workbookViewId="0">
      <selection activeCell="O9" sqref="O9"/>
    </sheetView>
  </sheetViews>
  <sheetFormatPr defaultColWidth="10.89453125" defaultRowHeight="15" x14ac:dyDescent="0.2"/>
  <cols>
    <col min="4" max="4" width="1.8828125" customWidth="1"/>
    <col min="5" max="5" width="21.5234375" style="29" customWidth="1"/>
  </cols>
  <sheetData>
    <row r="8" spans="1:12" s="81" customFormat="1" ht="31.5" x14ac:dyDescent="0.45">
      <c r="A8" s="89" t="s">
        <v>44</v>
      </c>
      <c r="B8" s="89"/>
      <c r="C8" s="89"/>
      <c r="D8" s="89"/>
      <c r="E8" s="89"/>
      <c r="F8" s="89"/>
      <c r="G8" s="89"/>
      <c r="H8" s="89"/>
      <c r="I8" s="89"/>
      <c r="J8" s="89"/>
      <c r="K8" s="89"/>
      <c r="L8" s="89"/>
    </row>
    <row r="9" spans="1:12" s="81" customFormat="1" ht="31.5" x14ac:dyDescent="0.45">
      <c r="A9" s="89" t="s">
        <v>45</v>
      </c>
      <c r="B9" s="89"/>
      <c r="C9" s="89"/>
      <c r="D9" s="89"/>
      <c r="E9" s="89"/>
      <c r="F9" s="89"/>
      <c r="G9" s="89"/>
      <c r="H9" s="89"/>
      <c r="I9" s="89"/>
      <c r="J9" s="89"/>
      <c r="K9" s="89"/>
      <c r="L9" s="89"/>
    </row>
    <row r="10" spans="1:12" s="39" customFormat="1" ht="53.1" customHeight="1" x14ac:dyDescent="0.5">
      <c r="E10" s="58" t="s">
        <v>42</v>
      </c>
      <c r="F10" s="58"/>
      <c r="G10" s="90" t="s">
        <v>43</v>
      </c>
      <c r="H10" s="90"/>
      <c r="I10" s="90"/>
      <c r="J10" s="58"/>
    </row>
    <row r="11" spans="1:12" s="39" customFormat="1" ht="9.9499999999999993" customHeight="1" x14ac:dyDescent="0.5">
      <c r="E11" s="40"/>
    </row>
    <row r="12" spans="1:12" s="39" customFormat="1" ht="36.75" x14ac:dyDescent="0.5">
      <c r="F12" s="58"/>
      <c r="G12" s="58"/>
      <c r="H12" s="58"/>
      <c r="I12" s="58"/>
      <c r="J12" s="58"/>
    </row>
    <row r="13" spans="1:12" ht="25.5" x14ac:dyDescent="0.2">
      <c r="E13" s="38"/>
    </row>
    <row r="20" spans="11:11" ht="15.75" x14ac:dyDescent="0.2">
      <c r="K20" s="57"/>
    </row>
    <row r="23" spans="11:11" ht="15.75" x14ac:dyDescent="0.2">
      <c r="K23" s="57"/>
    </row>
  </sheetData>
  <sheetProtection algorithmName="SHA-512" hashValue="34aZvggEVnDCplfCi/iqa+rGGScDkQWTEPmzw1dfNiyL3vT9p8Uj6ES/RsPITkbANSFzJymbgp5oVf+dQtS+PA==" saltValue="6Hn+gdIMkxzB1qSRXxwVJA==" spinCount="100000" sheet="1" objects="1" scenarios="1" selectLockedCells="1"/>
  <mergeCells count="3">
    <mergeCell ref="A8:L8"/>
    <mergeCell ref="A9:L9"/>
    <mergeCell ref="G10:I10"/>
  </mergeCells>
  <hyperlinks>
    <hyperlink ref="E10" location="Comanda!E5" display="CATALÀ" xr:uid="{C9C54C4B-B7FB-FA4F-B748-BA84A93F7113}"/>
    <hyperlink ref="G10" location="Pedido!A1" display="CASTELLÀ" xr:uid="{4D08A35B-C910-1D47-9E5D-26AF9A464B56}"/>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B672F-F3E5-C34A-AD34-5B8B6572B30B}">
  <sheetPr>
    <pageSetUpPr fitToPage="1"/>
  </sheetPr>
  <dimension ref="B1:K49"/>
  <sheetViews>
    <sheetView topLeftCell="A27" zoomScale="97" zoomScaleNormal="97" zoomScaleSheetLayoutView="110" workbookViewId="0">
      <selection activeCell="H23" sqref="H23"/>
    </sheetView>
  </sheetViews>
  <sheetFormatPr defaultColWidth="10.89453125" defaultRowHeight="15" x14ac:dyDescent="0.2"/>
  <cols>
    <col min="1" max="1" width="1.61328125" style="7" customWidth="1"/>
    <col min="2" max="2" width="5.37890625" style="7" customWidth="1"/>
    <col min="3" max="3" width="16.0078125" style="7" customWidth="1"/>
    <col min="4" max="4" width="4.83984375" style="7" customWidth="1"/>
    <col min="5" max="6" width="10.89453125" style="7"/>
    <col min="7" max="7" width="17.21875" style="7" customWidth="1"/>
    <col min="8" max="8" width="6.3203125" style="7" customWidth="1"/>
    <col min="9" max="10" width="8.609375" style="7" customWidth="1"/>
    <col min="11" max="11" width="11.1640625" style="7" customWidth="1"/>
    <col min="12" max="16384" width="10.89453125" style="7"/>
  </cols>
  <sheetData>
    <row r="1" spans="2:11" s="5" customFormat="1" ht="18.75" x14ac:dyDescent="0.2">
      <c r="B1" s="152" t="s">
        <v>29</v>
      </c>
      <c r="C1" s="152"/>
      <c r="D1" s="152"/>
      <c r="E1" s="152"/>
      <c r="F1" s="152"/>
      <c r="G1" s="152"/>
      <c r="H1" s="152"/>
      <c r="I1" s="152"/>
      <c r="J1" s="152"/>
      <c r="K1" s="152"/>
    </row>
    <row r="2" spans="2:11" s="5" customFormat="1" ht="18.75" x14ac:dyDescent="0.2">
      <c r="B2" s="152" t="s">
        <v>48</v>
      </c>
      <c r="C2" s="152"/>
      <c r="D2" s="152"/>
      <c r="E2" s="152"/>
      <c r="F2" s="152"/>
      <c r="G2" s="152"/>
      <c r="H2" s="152"/>
      <c r="I2" s="152"/>
      <c r="J2" s="152"/>
      <c r="K2" s="152"/>
    </row>
    <row r="3" spans="2:11" ht="9" customHeight="1" thickBot="1" x14ac:dyDescent="0.25">
      <c r="B3" s="6"/>
      <c r="C3" s="6"/>
      <c r="D3" s="6"/>
      <c r="E3" s="6"/>
      <c r="F3" s="6"/>
      <c r="G3" s="6"/>
      <c r="H3" s="6"/>
      <c r="I3" s="6"/>
      <c r="J3" s="6"/>
      <c r="K3" s="6"/>
    </row>
    <row r="4" spans="2:11" ht="15.75" thickBot="1" x14ac:dyDescent="0.25">
      <c r="B4" s="158" t="s">
        <v>4</v>
      </c>
      <c r="C4" s="159"/>
      <c r="D4" s="159"/>
      <c r="E4" s="159"/>
      <c r="F4" s="159"/>
      <c r="G4" s="159"/>
      <c r="H4" s="159"/>
      <c r="I4" s="159"/>
      <c r="J4" s="159"/>
      <c r="K4" s="160"/>
    </row>
    <row r="5" spans="2:11" s="3" customFormat="1" ht="14.45" customHeight="1" x14ac:dyDescent="0.2">
      <c r="B5" s="120" t="s">
        <v>5</v>
      </c>
      <c r="C5" s="121"/>
      <c r="D5" s="124"/>
      <c r="E5" s="125"/>
      <c r="F5" s="125"/>
      <c r="G5" s="126"/>
      <c r="H5" s="170" t="s">
        <v>6</v>
      </c>
      <c r="I5" s="171"/>
      <c r="J5" s="135"/>
      <c r="K5" s="153"/>
    </row>
    <row r="6" spans="2:11" s="3" customFormat="1" thickBot="1" x14ac:dyDescent="0.25">
      <c r="B6" s="122" t="s">
        <v>0</v>
      </c>
      <c r="C6" s="123"/>
      <c r="D6" s="172"/>
      <c r="E6" s="173"/>
      <c r="F6" s="173"/>
      <c r="G6" s="174"/>
      <c r="H6" s="55" t="s">
        <v>7</v>
      </c>
      <c r="J6" s="154"/>
      <c r="K6" s="155"/>
    </row>
    <row r="7" spans="2:11" s="3" customFormat="1" ht="14.45" customHeight="1" x14ac:dyDescent="0.2">
      <c r="B7" s="164" t="s">
        <v>8</v>
      </c>
      <c r="C7" s="165"/>
      <c r="D7" s="166"/>
      <c r="E7" s="21" t="s">
        <v>9</v>
      </c>
      <c r="F7" s="135"/>
      <c r="G7" s="135"/>
      <c r="H7" s="135"/>
      <c r="I7" s="135"/>
      <c r="J7" s="135"/>
      <c r="K7" s="153"/>
    </row>
    <row r="8" spans="2:11" s="3" customFormat="1" ht="15" customHeight="1" thickBot="1" x14ac:dyDescent="0.25">
      <c r="B8" s="167"/>
      <c r="C8" s="168"/>
      <c r="D8" s="169"/>
      <c r="E8" s="23" t="s">
        <v>1</v>
      </c>
      <c r="F8" s="172"/>
      <c r="G8" s="173"/>
      <c r="H8" s="174"/>
      <c r="I8" s="23" t="s">
        <v>10</v>
      </c>
      <c r="J8" s="127"/>
      <c r="K8" s="128"/>
    </row>
    <row r="9" spans="2:11" s="3" customFormat="1" ht="8.1" customHeight="1" thickBot="1" x14ac:dyDescent="0.25">
      <c r="B9" s="24"/>
      <c r="C9" s="24"/>
      <c r="D9" s="24"/>
      <c r="E9" s="24"/>
      <c r="F9" s="24"/>
      <c r="G9" s="24"/>
      <c r="H9" s="24"/>
      <c r="I9" s="24"/>
      <c r="J9" s="24"/>
      <c r="K9" s="24"/>
    </row>
    <row r="10" spans="2:11" s="3" customFormat="1" thickBot="1" x14ac:dyDescent="0.25">
      <c r="B10" s="161" t="s">
        <v>11</v>
      </c>
      <c r="C10" s="162"/>
      <c r="D10" s="162"/>
      <c r="E10" s="162"/>
      <c r="F10" s="162"/>
      <c r="G10" s="162"/>
      <c r="H10" s="162"/>
      <c r="I10" s="162"/>
      <c r="J10" s="162"/>
      <c r="K10" s="163"/>
    </row>
    <row r="11" spans="2:11" s="3" customFormat="1" ht="14.45" customHeight="1" x14ac:dyDescent="0.2">
      <c r="B11" s="120" t="s">
        <v>9</v>
      </c>
      <c r="C11" s="121"/>
      <c r="D11" s="144"/>
      <c r="E11" s="145"/>
      <c r="F11" s="145"/>
      <c r="G11" s="145"/>
      <c r="H11" s="146"/>
      <c r="I11" s="21" t="s">
        <v>6</v>
      </c>
      <c r="J11" s="135"/>
      <c r="K11" s="153"/>
    </row>
    <row r="12" spans="2:11" s="3" customFormat="1" ht="14.25" x14ac:dyDescent="0.2">
      <c r="B12" s="156" t="s">
        <v>12</v>
      </c>
      <c r="C12" s="157"/>
      <c r="D12" s="147"/>
      <c r="E12" s="148"/>
      <c r="F12" s="148"/>
      <c r="G12" s="148"/>
      <c r="H12" s="149"/>
      <c r="I12" s="22" t="s">
        <v>13</v>
      </c>
      <c r="J12" s="154"/>
      <c r="K12" s="155"/>
    </row>
    <row r="13" spans="2:11" s="3" customFormat="1" ht="15" customHeight="1" thickBot="1" x14ac:dyDescent="0.25">
      <c r="B13" s="122" t="s">
        <v>1</v>
      </c>
      <c r="C13" s="123"/>
      <c r="D13" s="150"/>
      <c r="E13" s="150"/>
      <c r="F13" s="150"/>
      <c r="G13" s="150"/>
      <c r="H13" s="151"/>
      <c r="I13" s="23" t="s">
        <v>10</v>
      </c>
      <c r="J13" s="127"/>
      <c r="K13" s="128"/>
    </row>
    <row r="14" spans="2:11" s="3" customFormat="1" ht="8.1" customHeight="1" thickBot="1" x14ac:dyDescent="0.25">
      <c r="B14" s="1"/>
      <c r="C14" s="2"/>
      <c r="D14" s="2"/>
      <c r="E14" s="25"/>
      <c r="F14" s="26"/>
      <c r="G14" s="26"/>
      <c r="H14" s="26"/>
      <c r="I14" s="25"/>
      <c r="J14" s="26"/>
      <c r="K14" s="27"/>
    </row>
    <row r="15" spans="2:11" s="3" customFormat="1" thickBot="1" x14ac:dyDescent="0.25">
      <c r="B15" s="99" t="s">
        <v>14</v>
      </c>
      <c r="C15" s="100"/>
      <c r="D15" s="100"/>
      <c r="E15" s="100"/>
      <c r="F15" s="100"/>
      <c r="G15" s="100"/>
      <c r="H15" s="100"/>
      <c r="I15" s="100"/>
      <c r="J15" s="100"/>
      <c r="K15" s="101"/>
    </row>
    <row r="16" spans="2:11" s="3" customFormat="1" ht="14.25" x14ac:dyDescent="0.2">
      <c r="B16" s="132" t="s">
        <v>15</v>
      </c>
      <c r="C16" s="133"/>
      <c r="D16" s="134"/>
      <c r="E16" s="135"/>
      <c r="F16" s="135"/>
      <c r="G16" s="135"/>
      <c r="H16" s="135"/>
      <c r="I16" s="135"/>
      <c r="J16" s="21" t="s">
        <v>36</v>
      </c>
      <c r="K16" s="35"/>
    </row>
    <row r="17" spans="2:11" s="3" customFormat="1" ht="14.25" x14ac:dyDescent="0.2">
      <c r="B17" s="136" t="s">
        <v>16</v>
      </c>
      <c r="C17" s="137"/>
      <c r="D17" s="138"/>
      <c r="E17" s="142"/>
      <c r="F17" s="142"/>
      <c r="G17" s="142"/>
      <c r="H17" s="142"/>
      <c r="I17" s="142"/>
      <c r="J17" s="142"/>
      <c r="K17" s="143"/>
    </row>
    <row r="18" spans="2:11" s="3" customFormat="1" thickBot="1" x14ac:dyDescent="0.25">
      <c r="B18" s="139" t="s">
        <v>6</v>
      </c>
      <c r="C18" s="140"/>
      <c r="D18" s="141"/>
      <c r="E18" s="127"/>
      <c r="F18" s="127"/>
      <c r="G18" s="127"/>
      <c r="H18" s="127"/>
      <c r="I18" s="127"/>
      <c r="J18" s="23" t="s">
        <v>2</v>
      </c>
      <c r="K18" s="36"/>
    </row>
    <row r="19" spans="2:11" s="3" customFormat="1" ht="8.1" customHeight="1" thickBot="1" x14ac:dyDescent="0.25">
      <c r="B19" s="24"/>
      <c r="C19" s="24"/>
      <c r="D19" s="24"/>
      <c r="E19" s="24"/>
      <c r="F19" s="24"/>
      <c r="G19" s="24"/>
      <c r="H19" s="24"/>
      <c r="I19" s="24"/>
      <c r="J19" s="24"/>
      <c r="K19" s="24"/>
    </row>
    <row r="20" spans="2:11" s="3" customFormat="1" thickBot="1" x14ac:dyDescent="0.25">
      <c r="B20" s="99" t="s">
        <v>3</v>
      </c>
      <c r="C20" s="100"/>
      <c r="D20" s="100"/>
      <c r="E20" s="100"/>
      <c r="F20" s="100"/>
      <c r="G20" s="100"/>
      <c r="H20" s="100"/>
      <c r="I20" s="100"/>
      <c r="J20" s="100"/>
      <c r="K20" s="101"/>
    </row>
    <row r="21" spans="2:11" s="3" customFormat="1" ht="28.5" customHeight="1" x14ac:dyDescent="0.2">
      <c r="B21" s="103" t="s">
        <v>33</v>
      </c>
      <c r="C21" s="105" t="s">
        <v>35</v>
      </c>
      <c r="D21" s="129" t="s">
        <v>50</v>
      </c>
      <c r="E21" s="130"/>
      <c r="F21" s="130"/>
      <c r="G21" s="131"/>
      <c r="H21" s="4" t="s">
        <v>49</v>
      </c>
      <c r="I21" s="105" t="s">
        <v>34</v>
      </c>
      <c r="J21" s="116" t="s">
        <v>17</v>
      </c>
      <c r="K21" s="118" t="s">
        <v>23</v>
      </c>
    </row>
    <row r="22" spans="2:11" s="3" customFormat="1" ht="14.25" x14ac:dyDescent="0.2">
      <c r="B22" s="104"/>
      <c r="C22" s="106"/>
      <c r="D22" s="181" t="s">
        <v>93</v>
      </c>
      <c r="E22" s="182"/>
      <c r="F22" s="182"/>
      <c r="G22" s="182"/>
      <c r="H22" s="183"/>
      <c r="I22" s="106"/>
      <c r="J22" s="117"/>
      <c r="K22" s="119"/>
    </row>
    <row r="23" spans="2:11" s="3" customFormat="1" ht="14.25" x14ac:dyDescent="0.2">
      <c r="B23" s="41"/>
      <c r="C23" s="33"/>
      <c r="D23" s="113"/>
      <c r="E23" s="114"/>
      <c r="F23" s="114"/>
      <c r="G23" s="115"/>
      <c r="H23" s="46"/>
      <c r="I23" s="193">
        <v>18</v>
      </c>
      <c r="J23" s="37">
        <f>IF(H23&lt;&gt;"",IFERROR(IF(Ports!Y3=1,VLOOKUP(B23,Ports!A:C,3,0),VLOOKUP(B23,Ports!A:D,4,0)),0),0)</f>
        <v>0</v>
      </c>
      <c r="K23" s="8">
        <f>I23*B23</f>
        <v>0</v>
      </c>
    </row>
    <row r="24" spans="2:11" s="3" customFormat="1" ht="14.25" x14ac:dyDescent="0.2">
      <c r="B24" s="41"/>
      <c r="C24" s="33"/>
      <c r="D24" s="113"/>
      <c r="E24" s="114"/>
      <c r="F24" s="114"/>
      <c r="G24" s="115"/>
      <c r="H24" s="46"/>
      <c r="I24" s="194"/>
      <c r="J24" s="37">
        <f>IF(H24&lt;&gt;"",IFERROR(IF(Ports!Y4=1,VLOOKUP(B24,Ports!A:C,3,0),VLOOKUP(B24,Ports!A:D,4,0)),0),0)</f>
        <v>0</v>
      </c>
      <c r="K24" s="8">
        <f>I23*B24</f>
        <v>0</v>
      </c>
    </row>
    <row r="25" spans="2:11" s="3" customFormat="1" ht="14.25" x14ac:dyDescent="0.2">
      <c r="B25" s="41"/>
      <c r="C25" s="33"/>
      <c r="D25" s="113"/>
      <c r="E25" s="114"/>
      <c r="F25" s="114"/>
      <c r="G25" s="115"/>
      <c r="H25" s="46"/>
      <c r="I25" s="194"/>
      <c r="J25" s="37">
        <f>IF(H25&lt;&gt;"",IFERROR(IF(Ports!Y5=1,VLOOKUP(B25,Ports!A:C,3,0),VLOOKUP(B25,Ports!A:D,4,0)),0),0)</f>
        <v>0</v>
      </c>
      <c r="K25" s="8">
        <f>I23*B25</f>
        <v>0</v>
      </c>
    </row>
    <row r="26" spans="2:11" s="3" customFormat="1" ht="14.25" x14ac:dyDescent="0.2">
      <c r="B26" s="41"/>
      <c r="C26" s="33"/>
      <c r="D26" s="113"/>
      <c r="E26" s="114"/>
      <c r="F26" s="114"/>
      <c r="G26" s="115"/>
      <c r="H26" s="46"/>
      <c r="I26" s="194"/>
      <c r="J26" s="37">
        <f>IF(H26&lt;&gt;"",IFERROR(IF(Ports!Y6=1,VLOOKUP(B26,Ports!A:C,3,0),VLOOKUP(B26,Ports!A:D,4,0)),0),0)</f>
        <v>0</v>
      </c>
      <c r="K26" s="8">
        <f>I23*B26</f>
        <v>0</v>
      </c>
    </row>
    <row r="27" spans="2:11" s="3" customFormat="1" thickBot="1" x14ac:dyDescent="0.25">
      <c r="B27" s="42"/>
      <c r="C27" s="34"/>
      <c r="D27" s="190"/>
      <c r="E27" s="191"/>
      <c r="F27" s="191"/>
      <c r="G27" s="192"/>
      <c r="H27" s="47"/>
      <c r="I27" s="195"/>
      <c r="J27" s="37">
        <f>IF(H27&lt;&gt;"",IFERROR(IF(Ports!Y7=1,VLOOKUP(B27,Ports!A:C,3,0),VLOOKUP(B27,Ports!A:D,4,0)),0),0)</f>
        <v>0</v>
      </c>
      <c r="K27" s="9">
        <f>I23*B27</f>
        <v>0</v>
      </c>
    </row>
    <row r="28" spans="2:11" s="3" customFormat="1" thickBot="1" x14ac:dyDescent="0.25">
      <c r="B28" s="43">
        <f>SUM(B23:B27)</f>
        <v>0</v>
      </c>
      <c r="C28" s="44"/>
      <c r="D28" s="24"/>
      <c r="E28" s="24"/>
      <c r="F28" s="24"/>
      <c r="G28" s="24"/>
      <c r="H28" s="24"/>
      <c r="I28" s="24"/>
      <c r="J28" s="45"/>
      <c r="K28" s="10">
        <f>SUM(K23:K27)</f>
        <v>0</v>
      </c>
    </row>
    <row r="29" spans="2:11" ht="5.45" customHeight="1" thickBot="1" x14ac:dyDescent="0.25">
      <c r="B29" s="11"/>
      <c r="C29" s="11"/>
      <c r="D29" s="6"/>
      <c r="E29" s="6"/>
      <c r="F29" s="6"/>
      <c r="G29" s="6"/>
      <c r="H29" s="6"/>
      <c r="I29" s="6"/>
      <c r="J29" s="6"/>
      <c r="K29" s="12"/>
    </row>
    <row r="30" spans="2:11" x14ac:dyDescent="0.2">
      <c r="B30" s="6"/>
      <c r="C30" s="6"/>
      <c r="D30" s="6"/>
      <c r="E30" s="6"/>
      <c r="F30" s="6"/>
      <c r="G30" s="108" t="s">
        <v>97</v>
      </c>
      <c r="H30" s="108"/>
      <c r="I30" s="108"/>
      <c r="J30" s="108"/>
      <c r="K30" s="59">
        <f>SUM(J23:J27)</f>
        <v>0</v>
      </c>
    </row>
    <row r="31" spans="2:11" ht="15.75" thickBot="1" x14ac:dyDescent="0.25">
      <c r="B31" s="6"/>
      <c r="C31" s="6"/>
      <c r="D31" s="6"/>
      <c r="E31" s="6"/>
      <c r="F31" s="6"/>
      <c r="G31" s="107" t="s">
        <v>100</v>
      </c>
      <c r="H31" s="107"/>
      <c r="I31" s="107"/>
      <c r="J31" s="107"/>
      <c r="K31" s="60">
        <f>(K28+K30)</f>
        <v>0</v>
      </c>
    </row>
    <row r="32" spans="2:11" ht="6.95" customHeight="1" thickBot="1" x14ac:dyDescent="0.25">
      <c r="B32" s="6"/>
      <c r="C32" s="6"/>
      <c r="D32" s="6"/>
      <c r="E32" s="6"/>
      <c r="F32" s="6"/>
      <c r="G32" s="6"/>
      <c r="H32" s="6"/>
      <c r="I32" s="6"/>
      <c r="J32" s="6"/>
      <c r="K32" s="6"/>
    </row>
    <row r="33" spans="2:11" ht="39.950000000000003" customHeight="1" x14ac:dyDescent="0.2">
      <c r="B33" s="196" t="s">
        <v>18</v>
      </c>
      <c r="C33" s="185"/>
      <c r="D33" s="185"/>
      <c r="E33" s="197" t="s">
        <v>25</v>
      </c>
      <c r="F33" s="197"/>
      <c r="G33" s="197"/>
      <c r="H33" s="197"/>
      <c r="I33" s="197"/>
      <c r="J33" s="197"/>
      <c r="K33" s="198"/>
    </row>
    <row r="34" spans="2:11" ht="44.1" customHeight="1" x14ac:dyDescent="0.2">
      <c r="B34" s="186"/>
      <c r="C34" s="187"/>
      <c r="D34" s="187"/>
      <c r="E34" s="109" t="s">
        <v>26</v>
      </c>
      <c r="F34" s="109"/>
      <c r="G34" s="109"/>
      <c r="H34" s="109"/>
      <c r="I34" s="109"/>
      <c r="J34" s="109"/>
      <c r="K34" s="110"/>
    </row>
    <row r="35" spans="2:11" ht="42.6" customHeight="1" thickBot="1" x14ac:dyDescent="0.25">
      <c r="B35" s="188"/>
      <c r="C35" s="189"/>
      <c r="D35" s="189"/>
      <c r="E35" s="111" t="s">
        <v>37</v>
      </c>
      <c r="F35" s="111"/>
      <c r="G35" s="111"/>
      <c r="H35" s="111"/>
      <c r="I35" s="111"/>
      <c r="J35" s="111"/>
      <c r="K35" s="112"/>
    </row>
    <row r="36" spans="2:11" ht="6.6" customHeight="1" thickBot="1" x14ac:dyDescent="0.25">
      <c r="B36" s="14"/>
      <c r="C36" s="14"/>
      <c r="D36" s="14"/>
      <c r="E36" s="6"/>
      <c r="F36" s="6"/>
      <c r="G36" s="6"/>
      <c r="H36" s="6"/>
      <c r="I36" s="6"/>
      <c r="J36" s="6"/>
      <c r="K36" s="6"/>
    </row>
    <row r="37" spans="2:11" x14ac:dyDescent="0.2">
      <c r="B37" s="184" t="s">
        <v>86</v>
      </c>
      <c r="C37" s="185"/>
      <c r="D37" s="185"/>
      <c r="E37" s="175" t="s">
        <v>56</v>
      </c>
      <c r="F37" s="176"/>
      <c r="G37" s="176"/>
      <c r="H37" s="176"/>
      <c r="I37" s="176"/>
      <c r="J37" s="176"/>
      <c r="K37" s="177"/>
    </row>
    <row r="38" spans="2:11" x14ac:dyDescent="0.2">
      <c r="B38" s="186"/>
      <c r="C38" s="187"/>
      <c r="D38" s="187"/>
      <c r="E38" s="178" t="s">
        <v>39</v>
      </c>
      <c r="F38" s="179"/>
      <c r="G38" s="179"/>
      <c r="H38" s="179"/>
      <c r="I38" s="179"/>
      <c r="J38" s="179"/>
      <c r="K38" s="180"/>
    </row>
    <row r="39" spans="2:11" x14ac:dyDescent="0.2">
      <c r="B39" s="186"/>
      <c r="C39" s="187"/>
      <c r="D39" s="187"/>
      <c r="E39" s="203" t="s">
        <v>53</v>
      </c>
      <c r="F39" s="204"/>
      <c r="G39" s="199" t="s">
        <v>87</v>
      </c>
      <c r="H39" s="199"/>
      <c r="I39" s="199"/>
      <c r="J39" s="199"/>
      <c r="K39" s="200"/>
    </row>
    <row r="40" spans="2:11" x14ac:dyDescent="0.2">
      <c r="B40" s="186"/>
      <c r="C40" s="187"/>
      <c r="D40" s="187"/>
      <c r="E40" s="205" t="s">
        <v>54</v>
      </c>
      <c r="F40" s="206"/>
      <c r="G40" s="199"/>
      <c r="H40" s="199"/>
      <c r="I40" s="199"/>
      <c r="J40" s="199"/>
      <c r="K40" s="200"/>
    </row>
    <row r="41" spans="2:11" ht="15.75" thickBot="1" x14ac:dyDescent="0.25">
      <c r="B41" s="188"/>
      <c r="C41" s="189"/>
      <c r="D41" s="189"/>
      <c r="E41" s="207" t="s">
        <v>55</v>
      </c>
      <c r="F41" s="208"/>
      <c r="G41" s="201"/>
      <c r="H41" s="201"/>
      <c r="I41" s="201"/>
      <c r="J41" s="201"/>
      <c r="K41" s="202"/>
    </row>
    <row r="42" spans="2:11" ht="3" customHeight="1" thickBot="1" x14ac:dyDescent="0.25">
      <c r="B42" s="14"/>
      <c r="C42" s="14"/>
      <c r="D42" s="14"/>
      <c r="E42" s="6"/>
      <c r="F42" s="6"/>
      <c r="G42" s="6"/>
      <c r="H42" s="6"/>
      <c r="I42" s="6"/>
      <c r="J42" s="6"/>
      <c r="K42" s="6"/>
    </row>
    <row r="43" spans="2:11" ht="15" customHeight="1" x14ac:dyDescent="0.2">
      <c r="B43" s="91" t="s">
        <v>24</v>
      </c>
      <c r="C43" s="92"/>
      <c r="D43" s="92"/>
      <c r="E43" s="83" t="s">
        <v>102</v>
      </c>
      <c r="F43" s="83"/>
      <c r="G43" s="83"/>
      <c r="H43" s="83"/>
      <c r="I43" s="83"/>
      <c r="J43" s="83"/>
      <c r="K43" s="84"/>
    </row>
    <row r="44" spans="2:11" ht="15" customHeight="1" x14ac:dyDescent="0.2">
      <c r="B44" s="93"/>
      <c r="C44" s="94"/>
      <c r="D44" s="94"/>
      <c r="E44" s="14" t="s">
        <v>92</v>
      </c>
      <c r="F44" s="6"/>
      <c r="G44" s="6"/>
      <c r="H44" s="6"/>
      <c r="I44" s="6"/>
      <c r="J44" s="6"/>
      <c r="K44" s="85"/>
    </row>
    <row r="45" spans="2:11" ht="15.75" thickBot="1" x14ac:dyDescent="0.25">
      <c r="B45" s="95"/>
      <c r="C45" s="96"/>
      <c r="D45" s="96"/>
      <c r="E45" s="86" t="s">
        <v>103</v>
      </c>
      <c r="F45" s="87"/>
      <c r="G45" s="87"/>
      <c r="H45" s="87"/>
      <c r="I45" s="87"/>
      <c r="J45" s="87"/>
      <c r="K45" s="88"/>
    </row>
    <row r="46" spans="2:11" ht="18.75" x14ac:dyDescent="0.2">
      <c r="B46" s="102" t="s">
        <v>89</v>
      </c>
      <c r="C46" s="102"/>
      <c r="D46" s="102"/>
      <c r="E46" s="102"/>
      <c r="F46" s="102"/>
      <c r="G46" s="102"/>
      <c r="H46" s="102"/>
      <c r="I46" s="102"/>
      <c r="J46" s="102"/>
      <c r="K46" s="102"/>
    </row>
    <row r="47" spans="2:11" ht="6.95" customHeight="1" x14ac:dyDescent="0.2"/>
    <row r="48" spans="2:11" ht="18" customHeight="1" x14ac:dyDescent="0.2">
      <c r="B48" s="19"/>
      <c r="C48" s="19"/>
      <c r="D48" s="20" t="s">
        <v>32</v>
      </c>
      <c r="E48" s="97"/>
      <c r="F48" s="98"/>
    </row>
    <row r="49" spans="2:6" ht="18" customHeight="1" x14ac:dyDescent="0.2">
      <c r="B49" s="19"/>
      <c r="C49" s="19"/>
      <c r="D49" s="20" t="s">
        <v>31</v>
      </c>
      <c r="E49" s="97"/>
      <c r="F49" s="98"/>
    </row>
  </sheetData>
  <sheetProtection algorithmName="SHA-512" hashValue="Q6SnoLZwTiVhd5aHLzkj1YYZTIPKRWY9AWW+aftmmfUISKFNknoiuyGavb50rc7RuUs94wzIC579KCMuNTzLVQ==" saltValue="g4Qi1o2BxRRPX52gpQszxQ==" spinCount="100000" sheet="1" objects="1" scenarios="1" selectLockedCells="1"/>
  <mergeCells count="62">
    <mergeCell ref="E37:K37"/>
    <mergeCell ref="E38:K38"/>
    <mergeCell ref="D22:H22"/>
    <mergeCell ref="J8:K8"/>
    <mergeCell ref="B37:D41"/>
    <mergeCell ref="D26:G26"/>
    <mergeCell ref="D27:G27"/>
    <mergeCell ref="I23:I27"/>
    <mergeCell ref="D23:G23"/>
    <mergeCell ref="B33:D35"/>
    <mergeCell ref="E33:K33"/>
    <mergeCell ref="G39:K41"/>
    <mergeCell ref="E39:F39"/>
    <mergeCell ref="E40:F40"/>
    <mergeCell ref="E41:F41"/>
    <mergeCell ref="B1:K1"/>
    <mergeCell ref="B2:K2"/>
    <mergeCell ref="J11:K11"/>
    <mergeCell ref="J12:K12"/>
    <mergeCell ref="B11:C11"/>
    <mergeCell ref="B12:C12"/>
    <mergeCell ref="B4:K4"/>
    <mergeCell ref="J5:K5"/>
    <mergeCell ref="B10:K10"/>
    <mergeCell ref="J6:K6"/>
    <mergeCell ref="B7:D8"/>
    <mergeCell ref="F7:K7"/>
    <mergeCell ref="H5:I5"/>
    <mergeCell ref="F8:H8"/>
    <mergeCell ref="D6:G6"/>
    <mergeCell ref="B5:C5"/>
    <mergeCell ref="B6:C6"/>
    <mergeCell ref="D5:G5"/>
    <mergeCell ref="J13:K13"/>
    <mergeCell ref="D21:G21"/>
    <mergeCell ref="B15:K15"/>
    <mergeCell ref="B16:D16"/>
    <mergeCell ref="E16:I16"/>
    <mergeCell ref="B17:D17"/>
    <mergeCell ref="B18:D18"/>
    <mergeCell ref="E17:K17"/>
    <mergeCell ref="E18:I18"/>
    <mergeCell ref="B13:C13"/>
    <mergeCell ref="D11:H11"/>
    <mergeCell ref="D12:H12"/>
    <mergeCell ref="D13:H13"/>
    <mergeCell ref="B43:D45"/>
    <mergeCell ref="E48:F48"/>
    <mergeCell ref="E49:F49"/>
    <mergeCell ref="B20:K20"/>
    <mergeCell ref="B46:K46"/>
    <mergeCell ref="B21:B22"/>
    <mergeCell ref="C21:C22"/>
    <mergeCell ref="I21:I22"/>
    <mergeCell ref="G31:J31"/>
    <mergeCell ref="G30:J30"/>
    <mergeCell ref="E34:K34"/>
    <mergeCell ref="E35:K35"/>
    <mergeCell ref="D25:G25"/>
    <mergeCell ref="D24:G24"/>
    <mergeCell ref="J21:J22"/>
    <mergeCell ref="K21:K22"/>
  </mergeCells>
  <conditionalFormatting sqref="J23:J27">
    <cfRule type="containsText" dxfId="5" priority="1" stopIfTrue="1" operator="containsText" text="Mínim 3 lots">
      <formula>NOT(ISERROR(SEARCH("Mínim 3 lots",J23)))</formula>
    </cfRule>
    <cfRule type="containsText" dxfId="4" priority="2" stopIfTrue="1" operator="containsText" text="Consultar">
      <formula>NOT(ISERROR(SEARCH("Consultar",J23)))</formula>
    </cfRule>
  </conditionalFormatting>
  <printOptions horizontalCentered="1"/>
  <pageMargins left="0.25" right="0.25" top="0.92" bottom="0.31" header="0.18" footer="0.3"/>
  <pageSetup paperSize="9" scale="93" orientation="portrait" horizontalDpi="300" verticalDpi="300" r:id="rId1"/>
  <headerFooter>
    <oddHeader>&amp;L&amp;G&amp;C&amp;"-,Negreta"&amp;16&amp;G&amp;R&amp;G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D5CD8-DB5F-434F-BAF6-1F2281D89E6B}">
  <dimension ref="B1:M49"/>
  <sheetViews>
    <sheetView topLeftCell="A13" zoomScaleNormal="100" zoomScaleSheetLayoutView="110" workbookViewId="0">
      <selection activeCell="D5" sqref="D5:G5"/>
    </sheetView>
  </sheetViews>
  <sheetFormatPr defaultColWidth="10.89453125" defaultRowHeight="15" x14ac:dyDescent="0.2"/>
  <cols>
    <col min="1" max="1" width="1.61328125" style="7" customWidth="1"/>
    <col min="2" max="2" width="5.37890625" style="7" customWidth="1"/>
    <col min="3" max="3" width="16.0078125" style="7" customWidth="1"/>
    <col min="4" max="4" width="4.83984375" style="7" customWidth="1"/>
    <col min="5" max="6" width="10.89453125" style="7"/>
    <col min="7" max="7" width="17.21875" style="7" customWidth="1"/>
    <col min="8" max="8" width="5.51171875" style="7" bestFit="1" customWidth="1"/>
    <col min="9" max="10" width="8.609375" style="7" customWidth="1"/>
    <col min="11" max="11" width="11.1640625" style="7" customWidth="1"/>
    <col min="12" max="16384" width="10.89453125" style="7"/>
  </cols>
  <sheetData>
    <row r="1" spans="2:11" s="5" customFormat="1" ht="18.75" x14ac:dyDescent="0.2">
      <c r="B1" s="152" t="s">
        <v>46</v>
      </c>
      <c r="C1" s="152"/>
      <c r="D1" s="152"/>
      <c r="E1" s="152"/>
      <c r="F1" s="152"/>
      <c r="G1" s="152"/>
      <c r="H1" s="152"/>
      <c r="I1" s="152"/>
      <c r="J1" s="152"/>
      <c r="K1" s="152"/>
    </row>
    <row r="2" spans="2:11" s="5" customFormat="1" ht="18.75" x14ac:dyDescent="0.2">
      <c r="B2" s="152" t="s">
        <v>47</v>
      </c>
      <c r="C2" s="152"/>
      <c r="D2" s="152"/>
      <c r="E2" s="152"/>
      <c r="F2" s="152"/>
      <c r="G2" s="152"/>
      <c r="H2" s="152"/>
      <c r="I2" s="152"/>
      <c r="J2" s="152"/>
      <c r="K2" s="152"/>
    </row>
    <row r="3" spans="2:11" ht="9" customHeight="1" thickBot="1" x14ac:dyDescent="0.25">
      <c r="B3" s="6"/>
      <c r="C3" s="6"/>
      <c r="D3" s="6"/>
      <c r="E3" s="6"/>
      <c r="F3" s="6"/>
      <c r="G3" s="6"/>
      <c r="H3" s="6"/>
      <c r="I3" s="6"/>
      <c r="J3" s="6"/>
      <c r="K3" s="6"/>
    </row>
    <row r="4" spans="2:11" ht="15.75" thickBot="1" x14ac:dyDescent="0.25">
      <c r="B4" s="158" t="s">
        <v>57</v>
      </c>
      <c r="C4" s="159"/>
      <c r="D4" s="159"/>
      <c r="E4" s="159"/>
      <c r="F4" s="159"/>
      <c r="G4" s="159"/>
      <c r="H4" s="159"/>
      <c r="I4" s="159"/>
      <c r="J4" s="159"/>
      <c r="K4" s="160"/>
    </row>
    <row r="5" spans="2:11" s="3" customFormat="1" ht="14.45" customHeight="1" x14ac:dyDescent="0.2">
      <c r="B5" s="120" t="s">
        <v>58</v>
      </c>
      <c r="C5" s="121"/>
      <c r="D5" s="124"/>
      <c r="E5" s="125"/>
      <c r="F5" s="125"/>
      <c r="G5" s="126"/>
      <c r="H5" s="170" t="s">
        <v>59</v>
      </c>
      <c r="I5" s="171"/>
      <c r="J5" s="135"/>
      <c r="K5" s="153"/>
    </row>
    <row r="6" spans="2:11" s="3" customFormat="1" thickBot="1" x14ac:dyDescent="0.25">
      <c r="B6" s="122" t="s">
        <v>0</v>
      </c>
      <c r="C6" s="123"/>
      <c r="D6" s="172"/>
      <c r="E6" s="173"/>
      <c r="F6" s="173"/>
      <c r="G6" s="174"/>
      <c r="H6" s="55" t="s">
        <v>60</v>
      </c>
      <c r="J6" s="154"/>
      <c r="K6" s="155"/>
    </row>
    <row r="7" spans="2:11" s="3" customFormat="1" ht="14.45" customHeight="1" x14ac:dyDescent="0.2">
      <c r="B7" s="164" t="s">
        <v>61</v>
      </c>
      <c r="C7" s="165"/>
      <c r="D7" s="166"/>
      <c r="E7" s="21" t="s">
        <v>62</v>
      </c>
      <c r="F7" s="135"/>
      <c r="G7" s="135"/>
      <c r="H7" s="135"/>
      <c r="I7" s="135"/>
      <c r="J7" s="135"/>
      <c r="K7" s="153"/>
    </row>
    <row r="8" spans="2:11" s="3" customFormat="1" ht="15" customHeight="1" thickBot="1" x14ac:dyDescent="0.25">
      <c r="B8" s="167"/>
      <c r="C8" s="168"/>
      <c r="D8" s="169"/>
      <c r="E8" s="23" t="s">
        <v>1</v>
      </c>
      <c r="F8" s="172"/>
      <c r="G8" s="173"/>
      <c r="H8" s="174"/>
      <c r="I8" s="23" t="s">
        <v>63</v>
      </c>
      <c r="J8" s="127"/>
      <c r="K8" s="128"/>
    </row>
    <row r="9" spans="2:11" s="3" customFormat="1" ht="8.1" customHeight="1" thickBot="1" x14ac:dyDescent="0.25">
      <c r="B9" s="24"/>
      <c r="C9" s="24"/>
      <c r="D9" s="24"/>
      <c r="E9" s="24"/>
      <c r="F9" s="24"/>
      <c r="G9" s="24"/>
      <c r="H9" s="24"/>
      <c r="I9" s="24"/>
      <c r="J9" s="24"/>
      <c r="K9" s="24"/>
    </row>
    <row r="10" spans="2:11" s="3" customFormat="1" thickBot="1" x14ac:dyDescent="0.25">
      <c r="B10" s="161" t="s">
        <v>65</v>
      </c>
      <c r="C10" s="162"/>
      <c r="D10" s="162"/>
      <c r="E10" s="162"/>
      <c r="F10" s="162"/>
      <c r="G10" s="162"/>
      <c r="H10" s="162"/>
      <c r="I10" s="162"/>
      <c r="J10" s="162"/>
      <c r="K10" s="163"/>
    </row>
    <row r="11" spans="2:11" s="3" customFormat="1" ht="14.45" customHeight="1" x14ac:dyDescent="0.2">
      <c r="B11" s="120" t="s">
        <v>62</v>
      </c>
      <c r="C11" s="121"/>
      <c r="D11" s="144"/>
      <c r="E11" s="145"/>
      <c r="F11" s="145"/>
      <c r="G11" s="145"/>
      <c r="H11" s="146"/>
      <c r="I11" s="56" t="s">
        <v>59</v>
      </c>
      <c r="J11" s="135"/>
      <c r="K11" s="153"/>
    </row>
    <row r="12" spans="2:11" s="3" customFormat="1" ht="14.25" x14ac:dyDescent="0.2">
      <c r="B12" s="156" t="s">
        <v>64</v>
      </c>
      <c r="C12" s="157"/>
      <c r="D12" s="147"/>
      <c r="E12" s="148"/>
      <c r="F12" s="148"/>
      <c r="G12" s="148"/>
      <c r="H12" s="149"/>
      <c r="I12" s="22" t="s">
        <v>13</v>
      </c>
      <c r="J12" s="154"/>
      <c r="K12" s="155"/>
    </row>
    <row r="13" spans="2:11" s="3" customFormat="1" ht="15" customHeight="1" thickBot="1" x14ac:dyDescent="0.25">
      <c r="B13" s="122" t="s">
        <v>1</v>
      </c>
      <c r="C13" s="123"/>
      <c r="D13" s="150"/>
      <c r="E13" s="150"/>
      <c r="F13" s="150"/>
      <c r="G13" s="150"/>
      <c r="H13" s="151"/>
      <c r="I13" s="23" t="s">
        <v>63</v>
      </c>
      <c r="J13" s="127"/>
      <c r="K13" s="128"/>
    </row>
    <row r="14" spans="2:11" s="3" customFormat="1" ht="8.1" customHeight="1" thickBot="1" x14ac:dyDescent="0.25">
      <c r="B14" s="1"/>
      <c r="C14" s="2"/>
      <c r="D14" s="2"/>
      <c r="E14" s="25"/>
      <c r="F14" s="26"/>
      <c r="G14" s="26"/>
      <c r="H14" s="26"/>
      <c r="I14" s="25"/>
      <c r="J14" s="26"/>
      <c r="K14" s="27"/>
    </row>
    <row r="15" spans="2:11" s="3" customFormat="1" thickBot="1" x14ac:dyDescent="0.25">
      <c r="B15" s="99" t="s">
        <v>68</v>
      </c>
      <c r="C15" s="100"/>
      <c r="D15" s="100"/>
      <c r="E15" s="100"/>
      <c r="F15" s="100"/>
      <c r="G15" s="100"/>
      <c r="H15" s="100"/>
      <c r="I15" s="100"/>
      <c r="J15" s="100"/>
      <c r="K15" s="101"/>
    </row>
    <row r="16" spans="2:11" s="3" customFormat="1" ht="14.25" x14ac:dyDescent="0.2">
      <c r="B16" s="132" t="s">
        <v>66</v>
      </c>
      <c r="C16" s="133"/>
      <c r="D16" s="134"/>
      <c r="E16" s="135"/>
      <c r="F16" s="135"/>
      <c r="G16" s="135"/>
      <c r="H16" s="135"/>
      <c r="I16" s="135"/>
      <c r="J16" s="21" t="s">
        <v>36</v>
      </c>
      <c r="K16" s="35"/>
    </row>
    <row r="17" spans="2:13" s="3" customFormat="1" ht="14.25" x14ac:dyDescent="0.2">
      <c r="B17" s="136" t="s">
        <v>67</v>
      </c>
      <c r="C17" s="137"/>
      <c r="D17" s="138"/>
      <c r="E17" s="142"/>
      <c r="F17" s="142"/>
      <c r="G17" s="142"/>
      <c r="H17" s="142"/>
      <c r="I17" s="142"/>
      <c r="J17" s="142"/>
      <c r="K17" s="143"/>
    </row>
    <row r="18" spans="2:13" s="3" customFormat="1" thickBot="1" x14ac:dyDescent="0.25">
      <c r="B18" s="139" t="s">
        <v>59</v>
      </c>
      <c r="C18" s="140"/>
      <c r="D18" s="141"/>
      <c r="E18" s="127"/>
      <c r="F18" s="127"/>
      <c r="G18" s="127"/>
      <c r="H18" s="127"/>
      <c r="I18" s="127"/>
      <c r="J18" s="23" t="s">
        <v>2</v>
      </c>
      <c r="K18" s="36"/>
    </row>
    <row r="19" spans="2:13" s="3" customFormat="1" ht="8.1" customHeight="1" thickBot="1" x14ac:dyDescent="0.25">
      <c r="B19" s="24"/>
      <c r="C19" s="24"/>
      <c r="D19" s="24"/>
      <c r="E19" s="24"/>
      <c r="F19" s="24"/>
      <c r="G19" s="24"/>
      <c r="H19" s="24"/>
      <c r="I19" s="24"/>
      <c r="J19" s="24"/>
      <c r="K19" s="24"/>
    </row>
    <row r="20" spans="2:13" s="3" customFormat="1" thickBot="1" x14ac:dyDescent="0.25">
      <c r="B20" s="99" t="s">
        <v>3</v>
      </c>
      <c r="C20" s="100"/>
      <c r="D20" s="100"/>
      <c r="E20" s="100"/>
      <c r="F20" s="100"/>
      <c r="G20" s="100"/>
      <c r="H20" s="100"/>
      <c r="I20" s="100"/>
      <c r="J20" s="100"/>
      <c r="K20" s="101"/>
    </row>
    <row r="21" spans="2:13" s="3" customFormat="1" ht="28.5" customHeight="1" x14ac:dyDescent="0.2">
      <c r="B21" s="103" t="s">
        <v>69</v>
      </c>
      <c r="C21" s="105" t="s">
        <v>70</v>
      </c>
      <c r="D21" s="129" t="s">
        <v>71</v>
      </c>
      <c r="E21" s="130"/>
      <c r="F21" s="130"/>
      <c r="G21" s="131"/>
      <c r="H21" s="4" t="s">
        <v>73</v>
      </c>
      <c r="I21" s="105" t="s">
        <v>74</v>
      </c>
      <c r="J21" s="116" t="s">
        <v>75</v>
      </c>
      <c r="K21" s="118" t="s">
        <v>23</v>
      </c>
    </row>
    <row r="22" spans="2:13" s="3" customFormat="1" ht="14.25" x14ac:dyDescent="0.2">
      <c r="B22" s="104"/>
      <c r="C22" s="106"/>
      <c r="D22" s="181" t="s">
        <v>72</v>
      </c>
      <c r="E22" s="182"/>
      <c r="F22" s="182"/>
      <c r="G22" s="182"/>
      <c r="H22" s="183"/>
      <c r="I22" s="106"/>
      <c r="J22" s="117"/>
      <c r="K22" s="119"/>
    </row>
    <row r="23" spans="2:13" s="3" customFormat="1" ht="14.25" x14ac:dyDescent="0.2">
      <c r="B23" s="41"/>
      <c r="C23" s="33"/>
      <c r="D23" s="113"/>
      <c r="E23" s="114"/>
      <c r="F23" s="114"/>
      <c r="G23" s="115"/>
      <c r="H23" s="46"/>
      <c r="I23" s="193">
        <v>18</v>
      </c>
      <c r="J23" s="37">
        <f>IF(H23&lt;&gt;"",IFERROR(IF(Ports!Y3=1,VLOOKUP(B23,Ports!A:C,3,0),VLOOKUP(B23,Ports!A:D,4,0)),0),0)</f>
        <v>0</v>
      </c>
      <c r="K23" s="8">
        <f>I23*B23</f>
        <v>0</v>
      </c>
    </row>
    <row r="24" spans="2:13" s="3" customFormat="1" ht="14.25" x14ac:dyDescent="0.2">
      <c r="B24" s="41"/>
      <c r="C24" s="33"/>
      <c r="D24" s="113"/>
      <c r="E24" s="114"/>
      <c r="F24" s="114"/>
      <c r="G24" s="115"/>
      <c r="H24" s="46"/>
      <c r="I24" s="194"/>
      <c r="J24" s="37">
        <f>IF(H24&lt;&gt;"",IFERROR(IF(Ports!Y4=1,VLOOKUP(B24,Ports!A:C,3,0),VLOOKUP(B24,Ports!A:D,4,0)),0),0)</f>
        <v>0</v>
      </c>
      <c r="K24" s="8">
        <f>I23*B24</f>
        <v>0</v>
      </c>
    </row>
    <row r="25" spans="2:13" s="3" customFormat="1" ht="14.25" x14ac:dyDescent="0.2">
      <c r="B25" s="41"/>
      <c r="C25" s="33"/>
      <c r="D25" s="113"/>
      <c r="E25" s="114"/>
      <c r="F25" s="114"/>
      <c r="G25" s="115"/>
      <c r="H25" s="46"/>
      <c r="I25" s="194"/>
      <c r="J25" s="37">
        <f>IF(H25&lt;&gt;"",IFERROR(IF(Ports!Y5=1,VLOOKUP(B25,Ports!A:C,3,0),VLOOKUP(B25,Ports!A:D,4,0)),0),0)</f>
        <v>0</v>
      </c>
      <c r="K25" s="8">
        <f>I23*B25</f>
        <v>0</v>
      </c>
    </row>
    <row r="26" spans="2:13" s="3" customFormat="1" ht="14.25" x14ac:dyDescent="0.2">
      <c r="B26" s="41"/>
      <c r="C26" s="33"/>
      <c r="D26" s="113"/>
      <c r="E26" s="114"/>
      <c r="F26" s="114"/>
      <c r="G26" s="115"/>
      <c r="H26" s="46"/>
      <c r="I26" s="194"/>
      <c r="J26" s="37">
        <f>IF(H26&lt;&gt;"",IFERROR(IF(Ports!Y6=1,VLOOKUP(B26,Ports!A:C,3,0),VLOOKUP(B26,Ports!A:D,4,0)),0),0)</f>
        <v>0</v>
      </c>
      <c r="K26" s="8">
        <f>I23*B26</f>
        <v>0</v>
      </c>
    </row>
    <row r="27" spans="2:13" s="3" customFormat="1" thickBot="1" x14ac:dyDescent="0.25">
      <c r="B27" s="42"/>
      <c r="C27" s="34"/>
      <c r="D27" s="190"/>
      <c r="E27" s="191"/>
      <c r="F27" s="191"/>
      <c r="G27" s="192"/>
      <c r="H27" s="47"/>
      <c r="I27" s="195"/>
      <c r="J27" s="37">
        <f>IF(H27&lt;&gt;"",IFERROR(IF(Ports!Y7=1,VLOOKUP(B27,Ports!A:C,3,0),VLOOKUP(B27,Ports!A:D,4,0)),0),0)</f>
        <v>0</v>
      </c>
      <c r="K27" s="9">
        <f>I23*B27</f>
        <v>0</v>
      </c>
    </row>
    <row r="28" spans="2:13" s="3" customFormat="1" thickBot="1" x14ac:dyDescent="0.25">
      <c r="B28" s="43">
        <f>SUM(B23:B27)</f>
        <v>0</v>
      </c>
      <c r="C28" s="44"/>
      <c r="D28" s="24"/>
      <c r="E28" s="24"/>
      <c r="F28" s="24"/>
      <c r="G28" s="24"/>
      <c r="H28" s="24"/>
      <c r="I28" s="24"/>
      <c r="J28" s="45"/>
      <c r="K28" s="10">
        <f>SUM(K23:K27)</f>
        <v>0</v>
      </c>
    </row>
    <row r="29" spans="2:13" ht="5.45" customHeight="1" thickBot="1" x14ac:dyDescent="0.25">
      <c r="B29" s="11"/>
      <c r="C29" s="11"/>
      <c r="D29" s="6"/>
      <c r="E29" s="6"/>
      <c r="F29" s="6"/>
      <c r="G29" s="6"/>
      <c r="H29" s="6"/>
      <c r="I29" s="6"/>
      <c r="J29" s="6"/>
      <c r="K29" s="12"/>
    </row>
    <row r="30" spans="2:13" x14ac:dyDescent="0.2">
      <c r="B30" s="6"/>
      <c r="C30" s="6"/>
      <c r="D30" s="6"/>
      <c r="E30" s="6"/>
      <c r="F30" s="6"/>
      <c r="G30" s="6"/>
      <c r="H30" s="6"/>
      <c r="I30" s="6"/>
      <c r="J30" s="61" t="s">
        <v>98</v>
      </c>
      <c r="K30" s="59">
        <f>SUM(J23:J27)</f>
        <v>0</v>
      </c>
      <c r="L30" s="61"/>
      <c r="M30" s="61"/>
    </row>
    <row r="31" spans="2:13" ht="15.75" thickBot="1" x14ac:dyDescent="0.25">
      <c r="B31" s="6"/>
      <c r="C31" s="6"/>
      <c r="D31" s="6"/>
      <c r="E31" s="6"/>
      <c r="F31" s="6"/>
      <c r="G31" s="6"/>
      <c r="H31" s="6"/>
      <c r="I31" s="6"/>
      <c r="J31" s="82" t="s">
        <v>99</v>
      </c>
      <c r="K31" s="13">
        <f>K28+K30</f>
        <v>0</v>
      </c>
    </row>
    <row r="32" spans="2:13" ht="6.95" customHeight="1" thickBot="1" x14ac:dyDescent="0.25">
      <c r="B32" s="6"/>
      <c r="C32" s="6"/>
      <c r="D32" s="6"/>
      <c r="E32" s="6"/>
      <c r="F32" s="6"/>
      <c r="G32" s="6"/>
      <c r="H32" s="6"/>
      <c r="I32" s="6"/>
      <c r="J32" s="6"/>
      <c r="K32" s="6"/>
    </row>
    <row r="33" spans="2:11" ht="39.950000000000003" customHeight="1" x14ac:dyDescent="0.2">
      <c r="B33" s="196" t="s">
        <v>83</v>
      </c>
      <c r="C33" s="185"/>
      <c r="D33" s="185"/>
      <c r="E33" s="197" t="s">
        <v>76</v>
      </c>
      <c r="F33" s="197"/>
      <c r="G33" s="197"/>
      <c r="H33" s="197"/>
      <c r="I33" s="197"/>
      <c r="J33" s="197"/>
      <c r="K33" s="198"/>
    </row>
    <row r="34" spans="2:11" ht="44.1" customHeight="1" x14ac:dyDescent="0.2">
      <c r="B34" s="186"/>
      <c r="C34" s="187"/>
      <c r="D34" s="187"/>
      <c r="E34" s="209" t="s">
        <v>77</v>
      </c>
      <c r="F34" s="209"/>
      <c r="G34" s="209"/>
      <c r="H34" s="209"/>
      <c r="I34" s="209"/>
      <c r="J34" s="209"/>
      <c r="K34" s="210"/>
    </row>
    <row r="35" spans="2:11" ht="42.6" customHeight="1" thickBot="1" x14ac:dyDescent="0.25">
      <c r="B35" s="188"/>
      <c r="C35" s="189"/>
      <c r="D35" s="189"/>
      <c r="E35" s="111" t="s">
        <v>78</v>
      </c>
      <c r="F35" s="111"/>
      <c r="G35" s="111"/>
      <c r="H35" s="111"/>
      <c r="I35" s="111"/>
      <c r="J35" s="111"/>
      <c r="K35" s="112"/>
    </row>
    <row r="36" spans="2:11" ht="6.6" customHeight="1" thickBot="1" x14ac:dyDescent="0.25">
      <c r="B36" s="14"/>
      <c r="C36" s="14"/>
      <c r="D36" s="14"/>
      <c r="E36" s="6"/>
      <c r="F36" s="6"/>
      <c r="G36" s="6"/>
      <c r="H36" s="6"/>
      <c r="I36" s="6"/>
      <c r="J36" s="6"/>
      <c r="K36" s="6"/>
    </row>
    <row r="37" spans="2:11" x14ac:dyDescent="0.2">
      <c r="B37" s="184" t="s">
        <v>84</v>
      </c>
      <c r="C37" s="185"/>
      <c r="D37" s="185"/>
      <c r="E37" s="175" t="s">
        <v>79</v>
      </c>
      <c r="F37" s="176"/>
      <c r="G37" s="176"/>
      <c r="H37" s="176"/>
      <c r="I37" s="176"/>
      <c r="J37" s="176"/>
      <c r="K37" s="177"/>
    </row>
    <row r="38" spans="2:11" x14ac:dyDescent="0.2">
      <c r="B38" s="186"/>
      <c r="C38" s="187"/>
      <c r="D38" s="187"/>
      <c r="E38" s="178" t="s">
        <v>80</v>
      </c>
      <c r="F38" s="179"/>
      <c r="G38" s="179"/>
      <c r="H38" s="179"/>
      <c r="I38" s="179"/>
      <c r="J38" s="179"/>
      <c r="K38" s="180"/>
    </row>
    <row r="39" spans="2:11" x14ac:dyDescent="0.2">
      <c r="B39" s="186"/>
      <c r="C39" s="187"/>
      <c r="D39" s="187"/>
      <c r="E39" s="203" t="s">
        <v>81</v>
      </c>
      <c r="F39" s="204"/>
      <c r="G39" s="199" t="s">
        <v>88</v>
      </c>
      <c r="H39" s="199"/>
      <c r="I39" s="199"/>
      <c r="J39" s="199"/>
      <c r="K39" s="200"/>
    </row>
    <row r="40" spans="2:11" x14ac:dyDescent="0.2">
      <c r="B40" s="186"/>
      <c r="C40" s="187"/>
      <c r="D40" s="187"/>
      <c r="E40" s="205" t="s">
        <v>54</v>
      </c>
      <c r="F40" s="206"/>
      <c r="G40" s="199"/>
      <c r="H40" s="199"/>
      <c r="I40" s="199"/>
      <c r="J40" s="199"/>
      <c r="K40" s="200"/>
    </row>
    <row r="41" spans="2:11" ht="15.75" thickBot="1" x14ac:dyDescent="0.25">
      <c r="B41" s="188"/>
      <c r="C41" s="189"/>
      <c r="D41" s="189"/>
      <c r="E41" s="207" t="s">
        <v>82</v>
      </c>
      <c r="F41" s="208"/>
      <c r="G41" s="201"/>
      <c r="H41" s="201"/>
      <c r="I41" s="201"/>
      <c r="J41" s="201"/>
      <c r="K41" s="202"/>
    </row>
    <row r="42" spans="2:11" ht="3" customHeight="1" thickBot="1" x14ac:dyDescent="0.25">
      <c r="B42" s="14"/>
      <c r="C42" s="14"/>
      <c r="D42" s="14"/>
      <c r="E42" s="6"/>
      <c r="F42" s="6"/>
      <c r="G42" s="6"/>
      <c r="H42" s="6"/>
      <c r="I42" s="6"/>
      <c r="J42" s="6"/>
      <c r="K42" s="6"/>
    </row>
    <row r="43" spans="2:11" ht="15" customHeight="1" x14ac:dyDescent="0.2">
      <c r="B43" s="91" t="s">
        <v>85</v>
      </c>
      <c r="C43" s="92"/>
      <c r="D43" s="92"/>
      <c r="E43" s="83" t="s">
        <v>105</v>
      </c>
      <c r="F43" s="83"/>
      <c r="G43" s="83"/>
      <c r="H43" s="83"/>
      <c r="I43" s="83"/>
      <c r="J43" s="83"/>
      <c r="K43" s="84"/>
    </row>
    <row r="44" spans="2:11" ht="15" customHeight="1" x14ac:dyDescent="0.2">
      <c r="B44" s="93"/>
      <c r="C44" s="94"/>
      <c r="D44" s="94"/>
      <c r="E44" s="6" t="s">
        <v>90</v>
      </c>
      <c r="F44" s="6"/>
      <c r="G44" s="6"/>
      <c r="H44" s="6"/>
      <c r="I44" s="6"/>
      <c r="J44" s="6"/>
      <c r="K44" s="85"/>
    </row>
    <row r="45" spans="2:11" ht="15.75" thickBot="1" x14ac:dyDescent="0.25">
      <c r="B45" s="95"/>
      <c r="C45" s="96"/>
      <c r="D45" s="96"/>
      <c r="E45" s="86" t="s">
        <v>104</v>
      </c>
      <c r="F45" s="87"/>
      <c r="G45" s="87"/>
      <c r="H45" s="87"/>
      <c r="I45" s="87"/>
      <c r="J45" s="87"/>
      <c r="K45" s="88"/>
    </row>
    <row r="46" spans="2:11" ht="18.75" x14ac:dyDescent="0.2">
      <c r="B46" s="102" t="s">
        <v>91</v>
      </c>
      <c r="C46" s="102"/>
      <c r="D46" s="102"/>
      <c r="E46" s="102"/>
      <c r="F46" s="102"/>
      <c r="G46" s="102"/>
      <c r="H46" s="102"/>
      <c r="I46" s="102"/>
      <c r="J46" s="102"/>
      <c r="K46" s="102"/>
    </row>
    <row r="47" spans="2:11" ht="6.95" customHeight="1" x14ac:dyDescent="0.2"/>
    <row r="48" spans="2:11" ht="18" customHeight="1" x14ac:dyDescent="0.2">
      <c r="B48" s="19"/>
      <c r="C48" s="19"/>
      <c r="D48" s="20" t="s">
        <v>32</v>
      </c>
      <c r="E48" s="97"/>
      <c r="F48" s="98"/>
    </row>
    <row r="49" spans="2:6" ht="18" customHeight="1" x14ac:dyDescent="0.2">
      <c r="B49" s="19"/>
      <c r="C49" s="19"/>
      <c r="D49" s="20" t="s">
        <v>31</v>
      </c>
      <c r="E49" s="97"/>
      <c r="F49" s="98"/>
    </row>
  </sheetData>
  <sheetProtection algorithmName="SHA-512" hashValue="9lPvIHmL7qRZxcErHoc2d4iV01JxHS1avE2s/3+cfvr+frK/WqTS1K6wly4StUsrVFUD6awF8jkZu9cTCW4cpQ==" saltValue="9Cvbbg5rIcoItUpCcHBCwQ==" spinCount="100000" sheet="1" selectLockedCells="1"/>
  <mergeCells count="60">
    <mergeCell ref="B46:K46"/>
    <mergeCell ref="E48:F48"/>
    <mergeCell ref="E49:F49"/>
    <mergeCell ref="B33:D35"/>
    <mergeCell ref="E33:K33"/>
    <mergeCell ref="E34:K34"/>
    <mergeCell ref="E35:K35"/>
    <mergeCell ref="B37:D41"/>
    <mergeCell ref="E37:K37"/>
    <mergeCell ref="E38:K38"/>
    <mergeCell ref="E39:F39"/>
    <mergeCell ref="G39:K41"/>
    <mergeCell ref="E40:F40"/>
    <mergeCell ref="E41:F41"/>
    <mergeCell ref="B43:D45"/>
    <mergeCell ref="K21:K22"/>
    <mergeCell ref="D22:H22"/>
    <mergeCell ref="D23:G23"/>
    <mergeCell ref="I23:I27"/>
    <mergeCell ref="D24:G24"/>
    <mergeCell ref="D25:G25"/>
    <mergeCell ref="D26:G26"/>
    <mergeCell ref="D27:G27"/>
    <mergeCell ref="B17:D17"/>
    <mergeCell ref="E17:K17"/>
    <mergeCell ref="B18:D18"/>
    <mergeCell ref="E18:I18"/>
    <mergeCell ref="B20:K20"/>
    <mergeCell ref="B21:B22"/>
    <mergeCell ref="C21:C22"/>
    <mergeCell ref="D21:G21"/>
    <mergeCell ref="I21:I22"/>
    <mergeCell ref="J21:J22"/>
    <mergeCell ref="B13:C13"/>
    <mergeCell ref="D13:H13"/>
    <mergeCell ref="J13:K13"/>
    <mergeCell ref="B15:K15"/>
    <mergeCell ref="B16:D16"/>
    <mergeCell ref="E16:I16"/>
    <mergeCell ref="B10:K10"/>
    <mergeCell ref="B11:C11"/>
    <mergeCell ref="D11:H11"/>
    <mergeCell ref="J11:K11"/>
    <mergeCell ref="B12:C12"/>
    <mergeCell ref="D12:H12"/>
    <mergeCell ref="J12:K12"/>
    <mergeCell ref="B6:C6"/>
    <mergeCell ref="D6:G6"/>
    <mergeCell ref="J6:K6"/>
    <mergeCell ref="B7:D8"/>
    <mergeCell ref="F7:K7"/>
    <mergeCell ref="F8:H8"/>
    <mergeCell ref="J8:K8"/>
    <mergeCell ref="B1:K1"/>
    <mergeCell ref="B2:K2"/>
    <mergeCell ref="B4:K4"/>
    <mergeCell ref="B5:C5"/>
    <mergeCell ref="D5:G5"/>
    <mergeCell ref="H5:I5"/>
    <mergeCell ref="J5:K5"/>
  </mergeCells>
  <conditionalFormatting sqref="J23:J27">
    <cfRule type="containsText" dxfId="3" priority="1" stopIfTrue="1" operator="containsText" text="Mínim 3 lots">
      <formula>NOT(ISERROR(SEARCH("Mínim 3 lots",J23)))</formula>
    </cfRule>
    <cfRule type="containsText" dxfId="2" priority="2" stopIfTrue="1" operator="containsText" text="Consultar">
      <formula>NOT(ISERROR(SEARCH("Consultar",J23)))</formula>
    </cfRule>
  </conditionalFormatting>
  <printOptions horizontalCentered="1"/>
  <pageMargins left="0.25" right="0.25" top="0.92" bottom="0.31" header="0.18" footer="0.3"/>
  <pageSetup paperSize="9" orientation="portrait" horizontalDpi="300" verticalDpi="300" r:id="rId1"/>
  <headerFooter>
    <oddHeader>&amp;L&amp;G&amp;C&amp;"-,Negreta"&amp;16&amp;G&amp;R&amp;G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C2BA-35D8-754E-967C-8617D46DCE8C}">
  <sheetPr>
    <pageSetUpPr fitToPage="1"/>
  </sheetPr>
  <dimension ref="B1:K49"/>
  <sheetViews>
    <sheetView zoomScaleNormal="100" zoomScaleSheetLayoutView="110" workbookViewId="0">
      <selection activeCell="B3" sqref="B3"/>
    </sheetView>
  </sheetViews>
  <sheetFormatPr defaultColWidth="10.89453125" defaultRowHeight="15" x14ac:dyDescent="0.2"/>
  <cols>
    <col min="1" max="1" width="1.61328125" style="7" customWidth="1"/>
    <col min="2" max="2" width="5.37890625" style="7" customWidth="1"/>
    <col min="3" max="3" width="16.0078125" style="7" customWidth="1"/>
    <col min="4" max="4" width="4.83984375" style="7" customWidth="1"/>
    <col min="5" max="6" width="10.89453125" style="7"/>
    <col min="7" max="7" width="17.21875" style="7" customWidth="1"/>
    <col min="8" max="8" width="6.3203125" style="7" customWidth="1"/>
    <col min="9" max="10" width="8.609375" style="7" customWidth="1"/>
    <col min="11" max="11" width="11.1640625" style="7" customWidth="1"/>
    <col min="12" max="16384" width="10.89453125" style="7"/>
  </cols>
  <sheetData>
    <row r="1" spans="2:11" s="5" customFormat="1" ht="18.75" x14ac:dyDescent="0.2">
      <c r="B1" s="152" t="s">
        <v>29</v>
      </c>
      <c r="C1" s="152"/>
      <c r="D1" s="152"/>
      <c r="E1" s="152"/>
      <c r="F1" s="152"/>
      <c r="G1" s="152"/>
      <c r="H1" s="152"/>
      <c r="I1" s="152"/>
      <c r="J1" s="152"/>
      <c r="K1" s="152"/>
    </row>
    <row r="2" spans="2:11" s="5" customFormat="1" ht="18.75" x14ac:dyDescent="0.2">
      <c r="B2" s="152" t="s">
        <v>101</v>
      </c>
      <c r="C2" s="152"/>
      <c r="D2" s="152"/>
      <c r="E2" s="152"/>
      <c r="F2" s="152"/>
      <c r="G2" s="152"/>
      <c r="H2" s="152"/>
      <c r="I2" s="152"/>
      <c r="J2" s="152"/>
      <c r="K2" s="152"/>
    </row>
    <row r="3" spans="2:11" ht="9" customHeight="1" thickBot="1" x14ac:dyDescent="0.25">
      <c r="B3" s="6"/>
      <c r="C3" s="6"/>
      <c r="D3" s="6"/>
      <c r="E3" s="6"/>
      <c r="F3" s="6"/>
      <c r="G3" s="6"/>
      <c r="H3" s="6"/>
      <c r="I3" s="6"/>
      <c r="J3" s="6"/>
      <c r="K3" s="6"/>
    </row>
    <row r="4" spans="2:11" ht="15.75" thickBot="1" x14ac:dyDescent="0.25">
      <c r="B4" s="158" t="s">
        <v>4</v>
      </c>
      <c r="C4" s="159"/>
      <c r="D4" s="159"/>
      <c r="E4" s="159"/>
      <c r="F4" s="159"/>
      <c r="G4" s="159"/>
      <c r="H4" s="159"/>
      <c r="I4" s="159"/>
      <c r="J4" s="159"/>
      <c r="K4" s="160"/>
    </row>
    <row r="5" spans="2:11" s="3" customFormat="1" ht="14.45" customHeight="1" x14ac:dyDescent="0.2">
      <c r="B5" s="120" t="s">
        <v>5</v>
      </c>
      <c r="C5" s="121"/>
      <c r="D5" s="124"/>
      <c r="E5" s="125"/>
      <c r="F5" s="125"/>
      <c r="G5" s="126"/>
      <c r="H5" s="170" t="s">
        <v>6</v>
      </c>
      <c r="I5" s="171"/>
      <c r="J5" s="135"/>
      <c r="K5" s="153"/>
    </row>
    <row r="6" spans="2:11" s="3" customFormat="1" thickBot="1" x14ac:dyDescent="0.25">
      <c r="B6" s="122" t="s">
        <v>0</v>
      </c>
      <c r="C6" s="123"/>
      <c r="D6" s="172"/>
      <c r="E6" s="173"/>
      <c r="F6" s="173"/>
      <c r="G6" s="174"/>
      <c r="H6" s="55" t="s">
        <v>7</v>
      </c>
      <c r="J6" s="154"/>
      <c r="K6" s="155"/>
    </row>
    <row r="7" spans="2:11" s="3" customFormat="1" ht="14.45" customHeight="1" x14ac:dyDescent="0.2">
      <c r="B7" s="164" t="s">
        <v>8</v>
      </c>
      <c r="C7" s="165"/>
      <c r="D7" s="166"/>
      <c r="E7" s="21" t="s">
        <v>9</v>
      </c>
      <c r="F7" s="135"/>
      <c r="G7" s="135"/>
      <c r="H7" s="135"/>
      <c r="I7" s="135"/>
      <c r="J7" s="135"/>
      <c r="K7" s="153"/>
    </row>
    <row r="8" spans="2:11" s="3" customFormat="1" ht="15" customHeight="1" thickBot="1" x14ac:dyDescent="0.25">
      <c r="B8" s="167"/>
      <c r="C8" s="168"/>
      <c r="D8" s="169"/>
      <c r="E8" s="23" t="s">
        <v>1</v>
      </c>
      <c r="F8" s="172"/>
      <c r="G8" s="173"/>
      <c r="H8" s="174"/>
      <c r="I8" s="23" t="s">
        <v>10</v>
      </c>
      <c r="J8" s="127"/>
      <c r="K8" s="128"/>
    </row>
    <row r="9" spans="2:11" s="3" customFormat="1" ht="8.1" customHeight="1" thickBot="1" x14ac:dyDescent="0.25">
      <c r="B9" s="24"/>
      <c r="C9" s="24"/>
      <c r="D9" s="24"/>
      <c r="E9" s="24"/>
      <c r="F9" s="24"/>
      <c r="G9" s="24"/>
      <c r="H9" s="24"/>
      <c r="I9" s="24"/>
      <c r="J9" s="24"/>
      <c r="K9" s="24"/>
    </row>
    <row r="10" spans="2:11" s="3" customFormat="1" thickBot="1" x14ac:dyDescent="0.25">
      <c r="B10" s="161" t="s">
        <v>11</v>
      </c>
      <c r="C10" s="162"/>
      <c r="D10" s="162"/>
      <c r="E10" s="162"/>
      <c r="F10" s="162"/>
      <c r="G10" s="162"/>
      <c r="H10" s="162"/>
      <c r="I10" s="162"/>
      <c r="J10" s="162"/>
      <c r="K10" s="163"/>
    </row>
    <row r="11" spans="2:11" s="3" customFormat="1" ht="14.45" customHeight="1" x14ac:dyDescent="0.2">
      <c r="B11" s="120" t="s">
        <v>9</v>
      </c>
      <c r="C11" s="121"/>
      <c r="D11" s="144" t="s">
        <v>94</v>
      </c>
      <c r="E11" s="145"/>
      <c r="F11" s="145"/>
      <c r="G11" s="145"/>
      <c r="H11" s="146"/>
      <c r="I11" s="21" t="s">
        <v>6</v>
      </c>
      <c r="J11" s="135"/>
      <c r="K11" s="153"/>
    </row>
    <row r="12" spans="2:11" s="3" customFormat="1" ht="14.25" x14ac:dyDescent="0.2">
      <c r="B12" s="156" t="s">
        <v>12</v>
      </c>
      <c r="C12" s="157"/>
      <c r="D12" s="147"/>
      <c r="E12" s="148"/>
      <c r="F12" s="148"/>
      <c r="G12" s="148"/>
      <c r="H12" s="149"/>
      <c r="I12" s="22" t="s">
        <v>13</v>
      </c>
      <c r="J12" s="154"/>
      <c r="K12" s="155"/>
    </row>
    <row r="13" spans="2:11" s="3" customFormat="1" ht="15" customHeight="1" thickBot="1" x14ac:dyDescent="0.25">
      <c r="B13" s="122" t="s">
        <v>1</v>
      </c>
      <c r="C13" s="123"/>
      <c r="D13" s="150"/>
      <c r="E13" s="150"/>
      <c r="F13" s="150"/>
      <c r="G13" s="150"/>
      <c r="H13" s="151"/>
      <c r="I13" s="23" t="s">
        <v>10</v>
      </c>
      <c r="J13" s="127"/>
      <c r="K13" s="128"/>
    </row>
    <row r="14" spans="2:11" s="3" customFormat="1" ht="8.1" customHeight="1" thickBot="1" x14ac:dyDescent="0.25">
      <c r="B14" s="1"/>
      <c r="C14" s="2"/>
      <c r="D14" s="2"/>
      <c r="E14" s="25"/>
      <c r="F14" s="26"/>
      <c r="G14" s="26"/>
      <c r="H14" s="26"/>
      <c r="I14" s="25"/>
      <c r="J14" s="26"/>
      <c r="K14" s="27"/>
    </row>
    <row r="15" spans="2:11" s="3" customFormat="1" thickBot="1" x14ac:dyDescent="0.25">
      <c r="B15" s="99" t="s">
        <v>14</v>
      </c>
      <c r="C15" s="100"/>
      <c r="D15" s="100"/>
      <c r="E15" s="100"/>
      <c r="F15" s="100"/>
      <c r="G15" s="100"/>
      <c r="H15" s="100"/>
      <c r="I15" s="100"/>
      <c r="J15" s="100"/>
      <c r="K15" s="101"/>
    </row>
    <row r="16" spans="2:11" s="3" customFormat="1" ht="14.25" x14ac:dyDescent="0.2">
      <c r="B16" s="132" t="s">
        <v>15</v>
      </c>
      <c r="C16" s="133"/>
      <c r="D16" s="134"/>
      <c r="E16" s="135"/>
      <c r="F16" s="135"/>
      <c r="G16" s="135"/>
      <c r="H16" s="135"/>
      <c r="I16" s="135"/>
      <c r="J16" s="21" t="s">
        <v>36</v>
      </c>
      <c r="K16" s="35"/>
    </row>
    <row r="17" spans="2:11" s="3" customFormat="1" ht="14.25" x14ac:dyDescent="0.2">
      <c r="B17" s="136" t="s">
        <v>16</v>
      </c>
      <c r="C17" s="137"/>
      <c r="D17" s="138"/>
      <c r="E17" s="142"/>
      <c r="F17" s="142"/>
      <c r="G17" s="142"/>
      <c r="H17" s="142"/>
      <c r="I17" s="142"/>
      <c r="J17" s="142"/>
      <c r="K17" s="143"/>
    </row>
    <row r="18" spans="2:11" s="3" customFormat="1" thickBot="1" x14ac:dyDescent="0.25">
      <c r="B18" s="139" t="s">
        <v>6</v>
      </c>
      <c r="C18" s="140"/>
      <c r="D18" s="141"/>
      <c r="E18" s="127"/>
      <c r="F18" s="127"/>
      <c r="G18" s="127"/>
      <c r="H18" s="127"/>
      <c r="I18" s="127"/>
      <c r="J18" s="23" t="s">
        <v>2</v>
      </c>
      <c r="K18" s="36"/>
    </row>
    <row r="19" spans="2:11" s="3" customFormat="1" ht="8.1" customHeight="1" thickBot="1" x14ac:dyDescent="0.25">
      <c r="B19" s="24"/>
      <c r="C19" s="24"/>
      <c r="D19" s="24"/>
      <c r="E19" s="24"/>
      <c r="F19" s="24"/>
      <c r="G19" s="24"/>
      <c r="H19" s="24"/>
      <c r="I19" s="24"/>
      <c r="J19" s="24"/>
      <c r="K19" s="24"/>
    </row>
    <row r="20" spans="2:11" s="3" customFormat="1" thickBot="1" x14ac:dyDescent="0.25">
      <c r="B20" s="99" t="s">
        <v>3</v>
      </c>
      <c r="C20" s="100"/>
      <c r="D20" s="100"/>
      <c r="E20" s="100"/>
      <c r="F20" s="100"/>
      <c r="G20" s="100"/>
      <c r="H20" s="100"/>
      <c r="I20" s="100"/>
      <c r="J20" s="100"/>
      <c r="K20" s="101"/>
    </row>
    <row r="21" spans="2:11" s="3" customFormat="1" ht="28.5" customHeight="1" x14ac:dyDescent="0.2">
      <c r="B21" s="103" t="s">
        <v>33</v>
      </c>
      <c r="C21" s="105" t="s">
        <v>35</v>
      </c>
      <c r="D21" s="129" t="s">
        <v>50</v>
      </c>
      <c r="E21" s="130"/>
      <c r="F21" s="130"/>
      <c r="G21" s="131"/>
      <c r="H21" s="4" t="s">
        <v>49</v>
      </c>
      <c r="I21" s="105" t="s">
        <v>34</v>
      </c>
      <c r="J21" s="116" t="s">
        <v>17</v>
      </c>
      <c r="K21" s="118" t="s">
        <v>23</v>
      </c>
    </row>
    <row r="22" spans="2:11" s="3" customFormat="1" ht="14.25" x14ac:dyDescent="0.2">
      <c r="B22" s="104"/>
      <c r="C22" s="106"/>
      <c r="D22" s="181" t="s">
        <v>93</v>
      </c>
      <c r="E22" s="182"/>
      <c r="F22" s="182"/>
      <c r="G22" s="182"/>
      <c r="H22" s="183"/>
      <c r="I22" s="106"/>
      <c r="J22" s="117"/>
      <c r="K22" s="119"/>
    </row>
    <row r="23" spans="2:11" s="3" customFormat="1" ht="14.25" x14ac:dyDescent="0.2">
      <c r="B23" s="41"/>
      <c r="C23" s="33"/>
      <c r="D23" s="113"/>
      <c r="E23" s="114"/>
      <c r="F23" s="114"/>
      <c r="G23" s="115"/>
      <c r="H23" s="46"/>
      <c r="I23" s="193">
        <v>18</v>
      </c>
      <c r="J23" s="37">
        <f>IF(H23&lt;&gt;"",IFERROR(IF(Ports!Y3=1,VLOOKUP(B23,Ports!A:C,3,0),VLOOKUP(B23,Ports!A:D,4,0)),0),0)</f>
        <v>0</v>
      </c>
      <c r="K23" s="8">
        <f>I23*B23</f>
        <v>0</v>
      </c>
    </row>
    <row r="24" spans="2:11" s="3" customFormat="1" ht="14.25" x14ac:dyDescent="0.2">
      <c r="B24" s="41"/>
      <c r="C24" s="33"/>
      <c r="D24" s="113"/>
      <c r="E24" s="114"/>
      <c r="F24" s="114"/>
      <c r="G24" s="115"/>
      <c r="H24" s="46"/>
      <c r="I24" s="194"/>
      <c r="J24" s="37">
        <f>IF(H24&lt;&gt;"",IFERROR(IF(Ports!Y4=1,VLOOKUP(B24,Ports!A:C,3,0),VLOOKUP(B24,Ports!A:D,4,0)),0),0)</f>
        <v>0</v>
      </c>
      <c r="K24" s="8">
        <f>I23*B24</f>
        <v>0</v>
      </c>
    </row>
    <row r="25" spans="2:11" s="3" customFormat="1" ht="14.25" x14ac:dyDescent="0.2">
      <c r="B25" s="41"/>
      <c r="C25" s="33"/>
      <c r="D25" s="113"/>
      <c r="E25" s="114"/>
      <c r="F25" s="114"/>
      <c r="G25" s="115"/>
      <c r="H25" s="46"/>
      <c r="I25" s="194"/>
      <c r="J25" s="37">
        <f>IF(H25&lt;&gt;"",IFERROR(IF(Ports!Y5=1,VLOOKUP(B25,Ports!A:C,3,0),VLOOKUP(B25,Ports!A:D,4,0)),0),0)</f>
        <v>0</v>
      </c>
      <c r="K25" s="8">
        <f>I23*B25</f>
        <v>0</v>
      </c>
    </row>
    <row r="26" spans="2:11" s="3" customFormat="1" ht="14.25" x14ac:dyDescent="0.2">
      <c r="B26" s="41"/>
      <c r="C26" s="33"/>
      <c r="D26" s="113"/>
      <c r="E26" s="114"/>
      <c r="F26" s="114"/>
      <c r="G26" s="115"/>
      <c r="H26" s="46"/>
      <c r="I26" s="194"/>
      <c r="J26" s="37">
        <f>IF(H26&lt;&gt;"",IFERROR(IF(Ports!Y6=1,VLOOKUP(B26,Ports!A:C,3,0),VLOOKUP(B26,Ports!A:D,4,0)),0),0)</f>
        <v>0</v>
      </c>
      <c r="K26" s="8">
        <f>I23*B26</f>
        <v>0</v>
      </c>
    </row>
    <row r="27" spans="2:11" s="3" customFormat="1" thickBot="1" x14ac:dyDescent="0.25">
      <c r="B27" s="42"/>
      <c r="C27" s="34"/>
      <c r="D27" s="190"/>
      <c r="E27" s="191"/>
      <c r="F27" s="191"/>
      <c r="G27" s="192"/>
      <c r="H27" s="47"/>
      <c r="I27" s="195"/>
      <c r="J27" s="37">
        <f>IF(H27&lt;&gt;"",IFERROR(IF(Ports!Y7=1,VLOOKUP(B27,Ports!A:C,3,0),VLOOKUP(B27,Ports!A:D,4,0)),0),0)</f>
        <v>0</v>
      </c>
      <c r="K27" s="9">
        <f>I23*B27</f>
        <v>0</v>
      </c>
    </row>
    <row r="28" spans="2:11" s="3" customFormat="1" thickBot="1" x14ac:dyDescent="0.25">
      <c r="B28" s="43">
        <f>SUM(B23:B27)</f>
        <v>0</v>
      </c>
      <c r="C28" s="44"/>
      <c r="D28" s="24"/>
      <c r="E28" s="24"/>
      <c r="F28" s="24"/>
      <c r="G28" s="24"/>
      <c r="H28" s="24"/>
      <c r="I28" s="24"/>
      <c r="J28" s="45"/>
      <c r="K28" s="10">
        <f>SUM(K23:K27)</f>
        <v>0</v>
      </c>
    </row>
    <row r="29" spans="2:11" ht="5.45" customHeight="1" thickBot="1" x14ac:dyDescent="0.25">
      <c r="B29" s="11"/>
      <c r="C29" s="11"/>
      <c r="D29" s="6"/>
      <c r="E29" s="6"/>
      <c r="F29" s="6"/>
      <c r="G29" s="6"/>
      <c r="H29" s="6"/>
      <c r="I29" s="6"/>
      <c r="J29" s="6"/>
      <c r="K29" s="12"/>
    </row>
    <row r="30" spans="2:11" x14ac:dyDescent="0.2">
      <c r="B30" s="6"/>
      <c r="C30" s="6"/>
      <c r="D30" s="6"/>
      <c r="E30" s="6"/>
      <c r="F30" s="6"/>
      <c r="G30" s="108" t="s">
        <v>97</v>
      </c>
      <c r="H30" s="108"/>
      <c r="I30" s="108"/>
      <c r="J30" s="108"/>
      <c r="K30" s="59">
        <f>SUM(J23:J27)</f>
        <v>0</v>
      </c>
    </row>
    <row r="31" spans="2:11" ht="15.75" thickBot="1" x14ac:dyDescent="0.25">
      <c r="B31" s="6"/>
      <c r="C31" s="6"/>
      <c r="D31" s="6"/>
      <c r="E31" s="6"/>
      <c r="F31" s="6"/>
      <c r="G31" s="107" t="s">
        <v>100</v>
      </c>
      <c r="H31" s="107"/>
      <c r="I31" s="107"/>
      <c r="J31" s="107"/>
      <c r="K31" s="60">
        <f>(K28+K30)</f>
        <v>0</v>
      </c>
    </row>
    <row r="32" spans="2:11" ht="6.95" customHeight="1" thickBot="1" x14ac:dyDescent="0.25">
      <c r="B32" s="6"/>
      <c r="C32" s="6"/>
      <c r="D32" s="6"/>
      <c r="E32" s="6"/>
      <c r="F32" s="6"/>
      <c r="G32" s="6"/>
      <c r="H32" s="6"/>
      <c r="I32" s="6"/>
      <c r="J32" s="6"/>
      <c r="K32" s="6"/>
    </row>
    <row r="33" spans="2:11" ht="39.950000000000003" customHeight="1" x14ac:dyDescent="0.2">
      <c r="B33" s="196" t="s">
        <v>18</v>
      </c>
      <c r="C33" s="185"/>
      <c r="D33" s="185"/>
      <c r="E33" s="197" t="s">
        <v>25</v>
      </c>
      <c r="F33" s="197"/>
      <c r="G33" s="197"/>
      <c r="H33" s="197"/>
      <c r="I33" s="197"/>
      <c r="J33" s="197"/>
      <c r="K33" s="198"/>
    </row>
    <row r="34" spans="2:11" ht="44.1" customHeight="1" x14ac:dyDescent="0.2">
      <c r="B34" s="186"/>
      <c r="C34" s="187"/>
      <c r="D34" s="187"/>
      <c r="E34" s="109" t="s">
        <v>26</v>
      </c>
      <c r="F34" s="109"/>
      <c r="G34" s="109"/>
      <c r="H34" s="109"/>
      <c r="I34" s="109"/>
      <c r="J34" s="109"/>
      <c r="K34" s="110"/>
    </row>
    <row r="35" spans="2:11" ht="42.6" customHeight="1" thickBot="1" x14ac:dyDescent="0.25">
      <c r="B35" s="188"/>
      <c r="C35" s="189"/>
      <c r="D35" s="189"/>
      <c r="E35" s="111" t="s">
        <v>37</v>
      </c>
      <c r="F35" s="111"/>
      <c r="G35" s="111"/>
      <c r="H35" s="111"/>
      <c r="I35" s="111"/>
      <c r="J35" s="111"/>
      <c r="K35" s="112"/>
    </row>
    <row r="36" spans="2:11" ht="6.6" customHeight="1" thickBot="1" x14ac:dyDescent="0.25">
      <c r="B36" s="14"/>
      <c r="C36" s="14"/>
      <c r="D36" s="14"/>
      <c r="E36" s="6"/>
      <c r="F36" s="6"/>
      <c r="G36" s="6"/>
      <c r="H36" s="6"/>
      <c r="I36" s="6"/>
      <c r="J36" s="6"/>
      <c r="K36" s="6"/>
    </row>
    <row r="37" spans="2:11" x14ac:dyDescent="0.2">
      <c r="B37" s="184" t="s">
        <v>86</v>
      </c>
      <c r="C37" s="185"/>
      <c r="D37" s="185"/>
      <c r="E37" s="175" t="s">
        <v>56</v>
      </c>
      <c r="F37" s="176"/>
      <c r="G37" s="176"/>
      <c r="H37" s="176"/>
      <c r="I37" s="176"/>
      <c r="J37" s="176"/>
      <c r="K37" s="177"/>
    </row>
    <row r="38" spans="2:11" x14ac:dyDescent="0.2">
      <c r="B38" s="186"/>
      <c r="C38" s="187"/>
      <c r="D38" s="187"/>
      <c r="E38" s="178" t="s">
        <v>39</v>
      </c>
      <c r="F38" s="179"/>
      <c r="G38" s="179"/>
      <c r="H38" s="179"/>
      <c r="I38" s="179"/>
      <c r="J38" s="179"/>
      <c r="K38" s="180"/>
    </row>
    <row r="39" spans="2:11" x14ac:dyDescent="0.2">
      <c r="B39" s="186"/>
      <c r="C39" s="187"/>
      <c r="D39" s="187"/>
      <c r="E39" s="203" t="s">
        <v>53</v>
      </c>
      <c r="F39" s="204"/>
      <c r="G39" s="199" t="s">
        <v>87</v>
      </c>
      <c r="H39" s="199"/>
      <c r="I39" s="199"/>
      <c r="J39" s="199"/>
      <c r="K39" s="200"/>
    </row>
    <row r="40" spans="2:11" x14ac:dyDescent="0.2">
      <c r="B40" s="186"/>
      <c r="C40" s="187"/>
      <c r="D40" s="187"/>
      <c r="E40" s="205" t="s">
        <v>54</v>
      </c>
      <c r="F40" s="206"/>
      <c r="G40" s="199"/>
      <c r="H40" s="199"/>
      <c r="I40" s="199"/>
      <c r="J40" s="199"/>
      <c r="K40" s="200"/>
    </row>
    <row r="41" spans="2:11" ht="15.75" thickBot="1" x14ac:dyDescent="0.25">
      <c r="B41" s="188"/>
      <c r="C41" s="189"/>
      <c r="D41" s="189"/>
      <c r="E41" s="207" t="s">
        <v>55</v>
      </c>
      <c r="F41" s="208"/>
      <c r="G41" s="201"/>
      <c r="H41" s="201"/>
      <c r="I41" s="201"/>
      <c r="J41" s="201"/>
      <c r="K41" s="202"/>
    </row>
    <row r="42" spans="2:11" ht="3" customHeight="1" x14ac:dyDescent="0.2">
      <c r="B42" s="14"/>
      <c r="C42" s="14"/>
      <c r="D42" s="14"/>
      <c r="E42" s="6"/>
      <c r="F42" s="6"/>
      <c r="G42" s="6"/>
      <c r="H42" s="6"/>
      <c r="I42" s="6"/>
      <c r="J42" s="6"/>
      <c r="K42" s="6"/>
    </row>
    <row r="43" spans="2:11" x14ac:dyDescent="0.2">
      <c r="B43" s="211" t="s">
        <v>24</v>
      </c>
      <c r="C43" s="212"/>
      <c r="D43" s="212"/>
      <c r="E43" s="15" t="s">
        <v>30</v>
      </c>
      <c r="F43" s="15"/>
      <c r="G43" s="15"/>
      <c r="H43" s="15"/>
      <c r="I43" s="15"/>
      <c r="J43" s="15"/>
      <c r="K43" s="16"/>
    </row>
    <row r="44" spans="2:11" x14ac:dyDescent="0.2">
      <c r="B44" s="213"/>
      <c r="C44" s="214"/>
      <c r="D44" s="214"/>
      <c r="E44" s="17" t="s">
        <v>92</v>
      </c>
      <c r="F44" s="17"/>
      <c r="G44" s="17"/>
      <c r="H44" s="17"/>
      <c r="I44" s="17"/>
      <c r="J44" s="17"/>
      <c r="K44" s="18"/>
    </row>
    <row r="45" spans="2:11" x14ac:dyDescent="0.2">
      <c r="B45" s="6"/>
      <c r="C45" s="6"/>
      <c r="D45" s="6"/>
      <c r="E45" s="6"/>
      <c r="F45" s="6"/>
      <c r="G45" s="6"/>
      <c r="H45" s="6"/>
      <c r="I45" s="6"/>
      <c r="J45" s="6"/>
      <c r="K45" s="6"/>
    </row>
    <row r="46" spans="2:11" ht="18.75" x14ac:dyDescent="0.2">
      <c r="B46" s="102" t="s">
        <v>89</v>
      </c>
      <c r="C46" s="102"/>
      <c r="D46" s="102"/>
      <c r="E46" s="102"/>
      <c r="F46" s="102"/>
      <c r="G46" s="102"/>
      <c r="H46" s="102"/>
      <c r="I46" s="102"/>
      <c r="J46" s="102"/>
      <c r="K46" s="102"/>
    </row>
    <row r="47" spans="2:11" ht="6.95" customHeight="1" x14ac:dyDescent="0.2"/>
    <row r="48" spans="2:11" ht="18" customHeight="1" x14ac:dyDescent="0.2">
      <c r="B48" s="19"/>
      <c r="C48" s="19"/>
      <c r="D48" s="20" t="s">
        <v>32</v>
      </c>
      <c r="E48" s="97"/>
      <c r="F48" s="98"/>
    </row>
    <row r="49" spans="2:6" ht="18" customHeight="1" x14ac:dyDescent="0.2">
      <c r="B49" s="19"/>
      <c r="C49" s="19"/>
      <c r="D49" s="20" t="s">
        <v>31</v>
      </c>
      <c r="E49" s="97"/>
      <c r="F49" s="98"/>
    </row>
  </sheetData>
  <sheetProtection selectLockedCells="1"/>
  <mergeCells count="62">
    <mergeCell ref="B43:D44"/>
    <mergeCell ref="B46:K46"/>
    <mergeCell ref="E48:F48"/>
    <mergeCell ref="E49:F49"/>
    <mergeCell ref="B37:D41"/>
    <mergeCell ref="E37:K37"/>
    <mergeCell ref="E38:K38"/>
    <mergeCell ref="E39:F39"/>
    <mergeCell ref="G39:K41"/>
    <mergeCell ref="E40:F40"/>
    <mergeCell ref="E41:F41"/>
    <mergeCell ref="G30:J30"/>
    <mergeCell ref="G31:J31"/>
    <mergeCell ref="B33:D35"/>
    <mergeCell ref="E33:K33"/>
    <mergeCell ref="E34:K34"/>
    <mergeCell ref="E35:K35"/>
    <mergeCell ref="K21:K22"/>
    <mergeCell ref="D22:H22"/>
    <mergeCell ref="D23:G23"/>
    <mergeCell ref="I23:I27"/>
    <mergeCell ref="D24:G24"/>
    <mergeCell ref="D25:G25"/>
    <mergeCell ref="D26:G26"/>
    <mergeCell ref="D27:G27"/>
    <mergeCell ref="B17:D17"/>
    <mergeCell ref="E17:K17"/>
    <mergeCell ref="B18:D18"/>
    <mergeCell ref="E18:I18"/>
    <mergeCell ref="B20:K20"/>
    <mergeCell ref="B21:B22"/>
    <mergeCell ref="C21:C22"/>
    <mergeCell ref="D21:G21"/>
    <mergeCell ref="I21:I22"/>
    <mergeCell ref="J21:J22"/>
    <mergeCell ref="B13:C13"/>
    <mergeCell ref="D13:H13"/>
    <mergeCell ref="J13:K13"/>
    <mergeCell ref="B15:K15"/>
    <mergeCell ref="B16:D16"/>
    <mergeCell ref="E16:I16"/>
    <mergeCell ref="B10:K10"/>
    <mergeCell ref="B11:C11"/>
    <mergeCell ref="D11:H11"/>
    <mergeCell ref="J11:K11"/>
    <mergeCell ref="B12:C12"/>
    <mergeCell ref="D12:H12"/>
    <mergeCell ref="J12:K12"/>
    <mergeCell ref="B6:C6"/>
    <mergeCell ref="D6:G6"/>
    <mergeCell ref="J6:K6"/>
    <mergeCell ref="B7:D8"/>
    <mergeCell ref="F7:K7"/>
    <mergeCell ref="F8:H8"/>
    <mergeCell ref="J8:K8"/>
    <mergeCell ref="B1:K1"/>
    <mergeCell ref="B2:K2"/>
    <mergeCell ref="B4:K4"/>
    <mergeCell ref="B5:C5"/>
    <mergeCell ref="D5:G5"/>
    <mergeCell ref="H5:I5"/>
    <mergeCell ref="J5:K5"/>
  </mergeCells>
  <conditionalFormatting sqref="J23:J27">
    <cfRule type="containsText" dxfId="1" priority="1" stopIfTrue="1" operator="containsText" text="Mínim 3 lots">
      <formula>NOT(ISERROR(SEARCH("Mínim 3 lots",J23)))</formula>
    </cfRule>
    <cfRule type="containsText" dxfId="0" priority="2" stopIfTrue="1" operator="containsText" text="Consultar">
      <formula>NOT(ISERROR(SEARCH("Consultar",J23)))</formula>
    </cfRule>
  </conditionalFormatting>
  <printOptions horizontalCentered="1"/>
  <pageMargins left="0.25" right="0.25" top="0.92" bottom="0.31" header="0.18" footer="0.3"/>
  <pageSetup paperSize="9" scale="93" orientation="portrait" horizontalDpi="300" verticalDpi="300" r:id="rId1"/>
  <headerFooter>
    <oddHeader>&amp;L&amp;G&amp;C&amp;"-,Negreta"&amp;16&amp;G&amp;R&amp;G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6E25-6D38-6148-A08B-2A0A06978297}">
  <dimension ref="A1:AA153"/>
  <sheetViews>
    <sheetView workbookViewId="0">
      <selection activeCell="I15" sqref="I15"/>
    </sheetView>
  </sheetViews>
  <sheetFormatPr defaultColWidth="10.89453125" defaultRowHeight="15" x14ac:dyDescent="0.2"/>
  <cols>
    <col min="1" max="1" width="4.3046875" style="7" bestFit="1" customWidth="1"/>
    <col min="2" max="2" width="9.14453125" style="7" customWidth="1"/>
    <col min="3" max="3" width="13.31640625" style="28" customWidth="1"/>
    <col min="4" max="4" width="12.375" style="7" bestFit="1" customWidth="1"/>
    <col min="5" max="5" width="4.9765625" style="7" customWidth="1"/>
    <col min="6" max="6" width="10.89453125" style="7" customWidth="1"/>
    <col min="7" max="9" width="10.89453125" style="28" customWidth="1"/>
    <col min="10" max="10" width="10.89453125" style="7" customWidth="1"/>
    <col min="11" max="11" width="10.89453125" style="72" customWidth="1"/>
    <col min="12" max="12" width="4.16796875" style="7" customWidth="1"/>
    <col min="13" max="13" width="4.16796875" style="66" bestFit="1" customWidth="1"/>
    <col min="14" max="14" width="10.89453125" style="66"/>
    <col min="15" max="17" width="10.89453125" style="67"/>
    <col min="18" max="18" width="10.89453125" style="66"/>
    <col min="19" max="19" width="10.89453125" style="73"/>
    <col min="20" max="20" width="5.51171875" style="7" customWidth="1"/>
    <col min="21" max="24" width="1.61328125" style="7" bestFit="1" customWidth="1"/>
    <col min="25" max="25" width="4.03515625" style="51" customWidth="1"/>
    <col min="26" max="26" width="16.54296875" style="7" bestFit="1" customWidth="1"/>
    <col min="27" max="16384" width="10.89453125" style="7"/>
  </cols>
  <sheetData>
    <row r="1" spans="1:27" s="77" customFormat="1" x14ac:dyDescent="0.2">
      <c r="C1" s="78"/>
      <c r="F1" s="215" t="s">
        <v>38</v>
      </c>
      <c r="G1" s="215"/>
      <c r="H1" s="215"/>
      <c r="I1" s="215"/>
      <c r="J1" s="215"/>
      <c r="K1" s="215"/>
      <c r="L1" s="79"/>
      <c r="M1" s="80"/>
      <c r="N1" s="215" t="s">
        <v>52</v>
      </c>
      <c r="O1" s="215"/>
      <c r="P1" s="215"/>
      <c r="Q1" s="215"/>
      <c r="R1" s="215"/>
      <c r="S1" s="215"/>
      <c r="Y1" s="79"/>
    </row>
    <row r="2" spans="1:27" s="29" customFormat="1" ht="47.45" customHeight="1" x14ac:dyDescent="0.2">
      <c r="A2" s="29" t="s">
        <v>21</v>
      </c>
      <c r="B2" s="29" t="s">
        <v>20</v>
      </c>
      <c r="C2" s="30" t="s">
        <v>41</v>
      </c>
      <c r="D2" s="32" t="s">
        <v>40</v>
      </c>
      <c r="E2" s="32"/>
      <c r="F2" s="65" t="s">
        <v>20</v>
      </c>
      <c r="G2" s="65" t="s">
        <v>22</v>
      </c>
      <c r="H2" s="65" t="s">
        <v>95</v>
      </c>
      <c r="I2" s="65" t="s">
        <v>96</v>
      </c>
      <c r="J2" s="65" t="s">
        <v>27</v>
      </c>
      <c r="K2" s="69" t="s">
        <v>28</v>
      </c>
      <c r="M2" s="65" t="s">
        <v>21</v>
      </c>
      <c r="N2" s="65" t="s">
        <v>20</v>
      </c>
      <c r="O2" s="65" t="s">
        <v>22</v>
      </c>
      <c r="P2" s="65" t="s">
        <v>95</v>
      </c>
      <c r="Q2" s="65" t="s">
        <v>96</v>
      </c>
      <c r="R2" s="65" t="s">
        <v>27</v>
      </c>
      <c r="S2" s="69" t="s">
        <v>28</v>
      </c>
      <c r="U2" s="216" t="s">
        <v>51</v>
      </c>
      <c r="V2" s="216"/>
      <c r="W2" s="216"/>
      <c r="X2" s="216"/>
      <c r="Y2" s="216"/>
      <c r="Z2" s="216"/>
    </row>
    <row r="3" spans="1:27" x14ac:dyDescent="0.2">
      <c r="A3" s="7">
        <v>1</v>
      </c>
      <c r="B3" s="7">
        <f t="shared" ref="B3:B4" si="0">(0.855*2)*A3</f>
        <v>1.71</v>
      </c>
      <c r="C3" s="28" t="s">
        <v>19</v>
      </c>
      <c r="D3" s="28" t="s">
        <v>19</v>
      </c>
      <c r="E3" s="64"/>
      <c r="F3" s="66">
        <v>5</v>
      </c>
      <c r="G3" s="67">
        <v>5.88</v>
      </c>
      <c r="H3" s="67">
        <f>G3*$AA$10</f>
        <v>0.38219999999999998</v>
      </c>
      <c r="I3" s="67">
        <f>G3*$AA$11</f>
        <v>0.47039999999999998</v>
      </c>
      <c r="J3" s="68">
        <f>(G3+H3+I3)*21%</f>
        <v>1.4138459999999999</v>
      </c>
      <c r="K3" s="70">
        <f>SUM(G3:J3)</f>
        <v>8.1464459999999992</v>
      </c>
      <c r="L3" s="31"/>
      <c r="M3" s="66">
        <v>1</v>
      </c>
      <c r="U3" s="49">
        <f>IF(MID(Comanda!$H23,1,2)="08",1,0)</f>
        <v>0</v>
      </c>
      <c r="V3" s="49">
        <f>IF(MID(Comanda!$H23,1,2)="17",1,0)</f>
        <v>0</v>
      </c>
      <c r="W3" s="49">
        <f>IF(MID(Comanda!$H23,1,2)="25",1,0)</f>
        <v>0</v>
      </c>
      <c r="X3" s="49">
        <f>IF(MID(Comanda!$H23,1,2)="43",1,0)</f>
        <v>0</v>
      </c>
      <c r="Y3" s="48">
        <f>SUM(U3:X3)</f>
        <v>0</v>
      </c>
      <c r="Z3" s="50" t="str">
        <f>IF(Y3=1,"Regional","Nacional Península")</f>
        <v>Nacional Península</v>
      </c>
    </row>
    <row r="4" spans="1:27" x14ac:dyDescent="0.2">
      <c r="A4" s="7">
        <v>2</v>
      </c>
      <c r="B4" s="7">
        <f t="shared" si="0"/>
        <v>3.42</v>
      </c>
      <c r="C4" s="28" t="s">
        <v>19</v>
      </c>
      <c r="D4" s="28" t="s">
        <v>19</v>
      </c>
      <c r="E4" s="64"/>
      <c r="F4" s="66">
        <v>6</v>
      </c>
      <c r="G4" s="67">
        <v>6.96</v>
      </c>
      <c r="H4" s="67">
        <f>G4*$AA$10</f>
        <v>0.45240000000000002</v>
      </c>
      <c r="I4" s="67">
        <f>G4*$AA$11</f>
        <v>0.55679999999999996</v>
      </c>
      <c r="J4" s="68">
        <f t="shared" ref="J4:J67" si="1">(G4+H4+I4)*21%</f>
        <v>1.6735319999999998</v>
      </c>
      <c r="K4" s="70">
        <f t="shared" ref="K4:K67" si="2">SUM(G4:J4)</f>
        <v>9.6427319999999987</v>
      </c>
      <c r="L4" s="31"/>
      <c r="M4" s="66">
        <v>2</v>
      </c>
      <c r="U4" s="49">
        <f>IF(MID(Comanda!$H24,1,2)="08",1,0)</f>
        <v>0</v>
      </c>
      <c r="V4" s="49">
        <f>IF(MID(Comanda!$H24,1,2)="17",1,0)</f>
        <v>0</v>
      </c>
      <c r="W4" s="49">
        <f>IF(MID(Comanda!$H24,1,2)="25",1,0)</f>
        <v>0</v>
      </c>
      <c r="X4" s="49">
        <f>IF(MID(Comanda!$H24,1,2)="43",1,0)</f>
        <v>0</v>
      </c>
      <c r="Y4" s="48">
        <f t="shared" ref="Y4:Y7" si="3">SUM(U4:X4)</f>
        <v>0</v>
      </c>
      <c r="Z4" s="50" t="str">
        <f t="shared" ref="Z4:Z7" si="4">IF(Y4=1,"Regional","Nacional Península")</f>
        <v>Nacional Península</v>
      </c>
    </row>
    <row r="5" spans="1:27" x14ac:dyDescent="0.2">
      <c r="A5" s="53">
        <v>3</v>
      </c>
      <c r="B5" s="53">
        <f>(0.855*2)*A5</f>
        <v>5.13</v>
      </c>
      <c r="C5" s="54">
        <f>VLOOKUP((ROUNDUP(B5,0)),F:K,6,0)</f>
        <v>9.6427319999999987</v>
      </c>
      <c r="D5" s="54">
        <f>VLOOKUP((ROUNDUP(B5,0)),N:S,6,0)</f>
        <v>12.635304</v>
      </c>
      <c r="E5" s="64"/>
      <c r="F5" s="66">
        <v>7</v>
      </c>
      <c r="G5" s="67">
        <v>6.96</v>
      </c>
      <c r="H5" s="67">
        <f t="shared" ref="H5:H68" si="5">G5*$AA$10</f>
        <v>0.45240000000000002</v>
      </c>
      <c r="I5" s="67">
        <f t="shared" ref="I5:I68" si="6">G5*$AA$11</f>
        <v>0.55679999999999996</v>
      </c>
      <c r="J5" s="68">
        <f t="shared" si="1"/>
        <v>1.6735319999999998</v>
      </c>
      <c r="K5" s="70">
        <f t="shared" si="2"/>
        <v>9.6427319999999987</v>
      </c>
      <c r="L5" s="31"/>
      <c r="M5" s="66">
        <v>3</v>
      </c>
      <c r="N5" s="66">
        <v>5</v>
      </c>
      <c r="O5" s="67">
        <v>9.1199999999999992</v>
      </c>
      <c r="P5" s="67">
        <f>O5*$AA$10</f>
        <v>0.59279999999999999</v>
      </c>
      <c r="Q5" s="67">
        <f>O5*$AA$11</f>
        <v>0.72959999999999992</v>
      </c>
      <c r="R5" s="68">
        <f>(O5+P5+Q5)*21%</f>
        <v>2.192904</v>
      </c>
      <c r="S5" s="70">
        <f>O5+P5+Q5+R5</f>
        <v>12.635304</v>
      </c>
      <c r="U5" s="49">
        <f>IF(MID(Comanda!$H25,1,2)="08",1,0)</f>
        <v>0</v>
      </c>
      <c r="V5" s="49">
        <f>IF(MID(Comanda!$H25,1,2)="17",1,0)</f>
        <v>0</v>
      </c>
      <c r="W5" s="49">
        <f>IF(MID(Comanda!$H25,1,2)="25",1,0)</f>
        <v>0</v>
      </c>
      <c r="X5" s="49">
        <f>IF(MID(Comanda!$H25,1,2)="43",1,0)</f>
        <v>0</v>
      </c>
      <c r="Y5" s="48">
        <f t="shared" si="3"/>
        <v>0</v>
      </c>
      <c r="Z5" s="50" t="str">
        <f t="shared" si="4"/>
        <v>Nacional Península</v>
      </c>
    </row>
    <row r="6" spans="1:27" x14ac:dyDescent="0.2">
      <c r="A6" s="7">
        <v>4</v>
      </c>
      <c r="B6" s="7">
        <f t="shared" ref="B6:B69" si="7">(0.855*2)*A6</f>
        <v>6.84</v>
      </c>
      <c r="C6" s="54">
        <f t="shared" ref="C6:C69" si="8">VLOOKUP((ROUNDUP(B6,0)),F:K,6,0)</f>
        <v>9.6427319999999987</v>
      </c>
      <c r="D6" s="54">
        <f t="shared" ref="D6:D69" si="9">VLOOKUP((ROUNDUP(B6,0)),N:S,6,0)</f>
        <v>12.635304</v>
      </c>
      <c r="E6" s="64"/>
      <c r="F6" s="66">
        <v>8</v>
      </c>
      <c r="G6" s="67">
        <v>6.96</v>
      </c>
      <c r="H6" s="67">
        <f t="shared" si="5"/>
        <v>0.45240000000000002</v>
      </c>
      <c r="I6" s="67">
        <f t="shared" si="6"/>
        <v>0.55679999999999996</v>
      </c>
      <c r="J6" s="68">
        <f t="shared" si="1"/>
        <v>1.6735319999999998</v>
      </c>
      <c r="K6" s="70">
        <f t="shared" si="2"/>
        <v>9.6427319999999987</v>
      </c>
      <c r="L6" s="31"/>
      <c r="M6" s="66">
        <v>4</v>
      </c>
      <c r="N6" s="66">
        <v>5</v>
      </c>
      <c r="O6" s="67">
        <v>9.1199999999999992</v>
      </c>
      <c r="P6" s="67">
        <f t="shared" ref="P6:P49" si="10">O6*$AA$10</f>
        <v>0.59279999999999999</v>
      </c>
      <c r="Q6" s="67">
        <f t="shared" ref="Q6:Q49" si="11">O6*$AA$11</f>
        <v>0.72959999999999992</v>
      </c>
      <c r="R6" s="68">
        <f t="shared" ref="R6:R45" si="12">(O6+P6+Q6)*21%</f>
        <v>2.192904</v>
      </c>
      <c r="S6" s="70">
        <f t="shared" ref="S6:S45" si="13">O6+P6+Q6+R6</f>
        <v>12.635304</v>
      </c>
      <c r="U6" s="49">
        <f>IF(MID(Comanda!$H26,1,2)="08",1,0)</f>
        <v>0</v>
      </c>
      <c r="V6" s="49">
        <f>IF(MID(Comanda!$H26,1,2)="17",1,0)</f>
        <v>0</v>
      </c>
      <c r="W6" s="49">
        <f>IF(MID(Comanda!$H26,1,2)="25",1,0)</f>
        <v>0</v>
      </c>
      <c r="X6" s="49">
        <f>IF(MID(Comanda!$H26,1,2)="43",1,0)</f>
        <v>0</v>
      </c>
      <c r="Y6" s="48">
        <f t="shared" si="3"/>
        <v>0</v>
      </c>
      <c r="Z6" s="50" t="str">
        <f t="shared" si="4"/>
        <v>Nacional Península</v>
      </c>
    </row>
    <row r="7" spans="1:27" x14ac:dyDescent="0.2">
      <c r="A7" s="7">
        <v>5</v>
      </c>
      <c r="B7" s="7">
        <f t="shared" si="7"/>
        <v>8.5500000000000007</v>
      </c>
      <c r="C7" s="54">
        <f t="shared" si="8"/>
        <v>9.6427319999999987</v>
      </c>
      <c r="D7" s="54">
        <f t="shared" si="9"/>
        <v>12.635304</v>
      </c>
      <c r="E7" s="64"/>
      <c r="F7" s="66">
        <v>9</v>
      </c>
      <c r="G7" s="67">
        <v>6.96</v>
      </c>
      <c r="H7" s="67">
        <f t="shared" si="5"/>
        <v>0.45240000000000002</v>
      </c>
      <c r="I7" s="67">
        <f t="shared" si="6"/>
        <v>0.55679999999999996</v>
      </c>
      <c r="J7" s="68">
        <f t="shared" si="1"/>
        <v>1.6735319999999998</v>
      </c>
      <c r="K7" s="70">
        <f t="shared" si="2"/>
        <v>9.6427319999999987</v>
      </c>
      <c r="L7" s="31"/>
      <c r="M7" s="66">
        <v>5</v>
      </c>
      <c r="N7" s="66">
        <v>5</v>
      </c>
      <c r="O7" s="67">
        <v>9.1199999999999992</v>
      </c>
      <c r="P7" s="67">
        <f t="shared" si="10"/>
        <v>0.59279999999999999</v>
      </c>
      <c r="Q7" s="67">
        <f t="shared" si="11"/>
        <v>0.72959999999999992</v>
      </c>
      <c r="R7" s="68">
        <f t="shared" si="12"/>
        <v>2.192904</v>
      </c>
      <c r="S7" s="70">
        <f t="shared" si="13"/>
        <v>12.635304</v>
      </c>
      <c r="U7" s="49">
        <f>IF(MID(Comanda!$H27,1,2)="08",1,0)</f>
        <v>0</v>
      </c>
      <c r="V7" s="49">
        <f>IF(MID(Comanda!$H27,1,2)="17",1,0)</f>
        <v>0</v>
      </c>
      <c r="W7" s="49">
        <f>IF(MID(Comanda!$H27,1,2)="25",1,0)</f>
        <v>0</v>
      </c>
      <c r="X7" s="49">
        <f>IF(MID(Comanda!$H27,1,2)="43",1,0)</f>
        <v>0</v>
      </c>
      <c r="Y7" s="48">
        <f t="shared" si="3"/>
        <v>0</v>
      </c>
      <c r="Z7" s="50" t="str">
        <f t="shared" si="4"/>
        <v>Nacional Península</v>
      </c>
    </row>
    <row r="8" spans="1:27" x14ac:dyDescent="0.2">
      <c r="A8" s="7">
        <v>6</v>
      </c>
      <c r="B8" s="7">
        <f t="shared" si="7"/>
        <v>10.26</v>
      </c>
      <c r="C8" s="54">
        <f t="shared" si="8"/>
        <v>11.139018</v>
      </c>
      <c r="D8" s="54">
        <f t="shared" si="9"/>
        <v>14.796606000000001</v>
      </c>
      <c r="E8" s="64"/>
      <c r="F8" s="66">
        <v>10</v>
      </c>
      <c r="G8" s="67">
        <v>6.96</v>
      </c>
      <c r="H8" s="67">
        <f t="shared" si="5"/>
        <v>0.45240000000000002</v>
      </c>
      <c r="I8" s="67">
        <f t="shared" si="6"/>
        <v>0.55679999999999996</v>
      </c>
      <c r="J8" s="68">
        <f t="shared" si="1"/>
        <v>1.6735319999999998</v>
      </c>
      <c r="K8" s="70">
        <f t="shared" si="2"/>
        <v>9.6427319999999987</v>
      </c>
      <c r="L8" s="31"/>
      <c r="M8" s="66">
        <v>6</v>
      </c>
      <c r="N8" s="66">
        <v>6</v>
      </c>
      <c r="O8" s="67">
        <v>9.1199999999999992</v>
      </c>
      <c r="P8" s="67">
        <f t="shared" si="10"/>
        <v>0.59279999999999999</v>
      </c>
      <c r="Q8" s="67">
        <f t="shared" si="11"/>
        <v>0.72959999999999992</v>
      </c>
      <c r="R8" s="68">
        <f t="shared" si="12"/>
        <v>2.192904</v>
      </c>
      <c r="S8" s="70">
        <f t="shared" si="13"/>
        <v>12.635304</v>
      </c>
    </row>
    <row r="9" spans="1:27" x14ac:dyDescent="0.2">
      <c r="A9" s="7">
        <v>7</v>
      </c>
      <c r="B9" s="7">
        <f t="shared" si="7"/>
        <v>11.969999999999999</v>
      </c>
      <c r="C9" s="54">
        <f t="shared" si="8"/>
        <v>11.139018</v>
      </c>
      <c r="D9" s="54">
        <f t="shared" si="9"/>
        <v>14.796606000000001</v>
      </c>
      <c r="E9" s="64"/>
      <c r="F9" s="66">
        <v>11</v>
      </c>
      <c r="G9" s="67">
        <v>8.0399999999999991</v>
      </c>
      <c r="H9" s="67">
        <f t="shared" si="5"/>
        <v>0.52259999999999995</v>
      </c>
      <c r="I9" s="67">
        <f t="shared" si="6"/>
        <v>0.64319999999999999</v>
      </c>
      <c r="J9" s="68">
        <f t="shared" si="1"/>
        <v>1.9332179999999999</v>
      </c>
      <c r="K9" s="70">
        <f t="shared" si="2"/>
        <v>11.139018</v>
      </c>
      <c r="L9" s="31"/>
      <c r="M9" s="66">
        <v>7</v>
      </c>
      <c r="N9" s="66">
        <v>7</v>
      </c>
      <c r="O9" s="67">
        <v>9.1199999999999992</v>
      </c>
      <c r="P9" s="67">
        <f t="shared" si="10"/>
        <v>0.59279999999999999</v>
      </c>
      <c r="Q9" s="67">
        <f t="shared" si="11"/>
        <v>0.72959999999999992</v>
      </c>
      <c r="R9" s="68">
        <f t="shared" si="12"/>
        <v>2.192904</v>
      </c>
      <c r="S9" s="70">
        <f t="shared" si="13"/>
        <v>12.635304</v>
      </c>
    </row>
    <row r="10" spans="1:27" x14ac:dyDescent="0.2">
      <c r="A10" s="7">
        <v>8</v>
      </c>
      <c r="B10" s="7">
        <f t="shared" si="7"/>
        <v>13.68</v>
      </c>
      <c r="C10" s="54">
        <f t="shared" si="8"/>
        <v>11.139018</v>
      </c>
      <c r="D10" s="54">
        <f t="shared" si="9"/>
        <v>14.796606000000001</v>
      </c>
      <c r="E10" s="64"/>
      <c r="F10" s="66">
        <v>12</v>
      </c>
      <c r="G10" s="67">
        <v>8.0399999999999991</v>
      </c>
      <c r="H10" s="67">
        <f t="shared" si="5"/>
        <v>0.52259999999999995</v>
      </c>
      <c r="I10" s="67">
        <f t="shared" si="6"/>
        <v>0.64319999999999999</v>
      </c>
      <c r="J10" s="68">
        <f t="shared" si="1"/>
        <v>1.9332179999999999</v>
      </c>
      <c r="K10" s="70">
        <f t="shared" si="2"/>
        <v>11.139018</v>
      </c>
      <c r="L10" s="31"/>
      <c r="M10" s="66">
        <v>8</v>
      </c>
      <c r="N10" s="66">
        <v>8</v>
      </c>
      <c r="O10" s="67">
        <v>9.1199999999999992</v>
      </c>
      <c r="P10" s="67">
        <f t="shared" si="10"/>
        <v>0.59279999999999999</v>
      </c>
      <c r="Q10" s="67">
        <f t="shared" si="11"/>
        <v>0.72959999999999992</v>
      </c>
      <c r="R10" s="68">
        <f t="shared" si="12"/>
        <v>2.192904</v>
      </c>
      <c r="S10" s="70">
        <f t="shared" si="13"/>
        <v>12.635304</v>
      </c>
      <c r="Z10" s="7" t="s">
        <v>95</v>
      </c>
      <c r="AA10" s="62">
        <v>6.5000000000000002E-2</v>
      </c>
    </row>
    <row r="11" spans="1:27" x14ac:dyDescent="0.2">
      <c r="A11" s="7">
        <v>9</v>
      </c>
      <c r="B11" s="7">
        <f t="shared" si="7"/>
        <v>15.39</v>
      </c>
      <c r="C11" s="54">
        <f t="shared" si="8"/>
        <v>12.635304</v>
      </c>
      <c r="D11" s="54">
        <f t="shared" si="9"/>
        <v>16.362164500000002</v>
      </c>
      <c r="E11" s="64"/>
      <c r="F11" s="66">
        <v>13</v>
      </c>
      <c r="G11" s="67">
        <v>8.0399999999999991</v>
      </c>
      <c r="H11" s="67">
        <f t="shared" si="5"/>
        <v>0.52259999999999995</v>
      </c>
      <c r="I11" s="67">
        <f t="shared" si="6"/>
        <v>0.64319999999999999</v>
      </c>
      <c r="J11" s="68">
        <f t="shared" si="1"/>
        <v>1.9332179999999999</v>
      </c>
      <c r="K11" s="70">
        <f t="shared" si="2"/>
        <v>11.139018</v>
      </c>
      <c r="L11" s="31"/>
      <c r="M11" s="66">
        <v>9</v>
      </c>
      <c r="N11" s="66">
        <v>9</v>
      </c>
      <c r="O11" s="67">
        <v>9.1199999999999992</v>
      </c>
      <c r="P11" s="67">
        <f t="shared" si="10"/>
        <v>0.59279999999999999</v>
      </c>
      <c r="Q11" s="67">
        <f t="shared" si="11"/>
        <v>0.72959999999999992</v>
      </c>
      <c r="R11" s="68">
        <f t="shared" si="12"/>
        <v>2.192904</v>
      </c>
      <c r="S11" s="70">
        <f t="shared" si="13"/>
        <v>12.635304</v>
      </c>
      <c r="Z11" s="7" t="s">
        <v>96</v>
      </c>
      <c r="AA11" s="63">
        <v>0.08</v>
      </c>
    </row>
    <row r="12" spans="1:27" x14ac:dyDescent="0.2">
      <c r="A12" s="7">
        <v>10</v>
      </c>
      <c r="B12" s="7">
        <f t="shared" si="7"/>
        <v>17.100000000000001</v>
      </c>
      <c r="C12" s="54">
        <f t="shared" si="8"/>
        <v>12.635304</v>
      </c>
      <c r="D12" s="54">
        <f t="shared" si="9"/>
        <v>16.362164500000002</v>
      </c>
      <c r="E12" s="64"/>
      <c r="F12" s="66">
        <v>14</v>
      </c>
      <c r="G12" s="67">
        <v>8.0399999999999991</v>
      </c>
      <c r="H12" s="67">
        <f t="shared" si="5"/>
        <v>0.52259999999999995</v>
      </c>
      <c r="I12" s="67">
        <f t="shared" si="6"/>
        <v>0.64319999999999999</v>
      </c>
      <c r="J12" s="68">
        <f t="shared" si="1"/>
        <v>1.9332179999999999</v>
      </c>
      <c r="K12" s="70">
        <f t="shared" si="2"/>
        <v>11.139018</v>
      </c>
      <c r="L12" s="31"/>
      <c r="M12" s="66">
        <v>10</v>
      </c>
      <c r="N12" s="66">
        <v>10</v>
      </c>
      <c r="O12" s="67">
        <v>9.1199999999999992</v>
      </c>
      <c r="P12" s="67">
        <f t="shared" si="10"/>
        <v>0.59279999999999999</v>
      </c>
      <c r="Q12" s="67">
        <f t="shared" si="11"/>
        <v>0.72959999999999992</v>
      </c>
      <c r="R12" s="68">
        <f t="shared" si="12"/>
        <v>2.192904</v>
      </c>
      <c r="S12" s="70">
        <f t="shared" si="13"/>
        <v>12.635304</v>
      </c>
    </row>
    <row r="13" spans="1:27" x14ac:dyDescent="0.2">
      <c r="A13" s="7">
        <v>11</v>
      </c>
      <c r="B13" s="7">
        <f t="shared" si="7"/>
        <v>18.809999999999999</v>
      </c>
      <c r="C13" s="54">
        <f t="shared" si="8"/>
        <v>12.635304</v>
      </c>
      <c r="D13" s="54">
        <f t="shared" si="9"/>
        <v>16.362164500000002</v>
      </c>
      <c r="E13" s="64"/>
      <c r="F13" s="66">
        <v>15</v>
      </c>
      <c r="G13" s="67">
        <v>8.0399999999999991</v>
      </c>
      <c r="H13" s="67">
        <f t="shared" si="5"/>
        <v>0.52259999999999995</v>
      </c>
      <c r="I13" s="67">
        <f t="shared" si="6"/>
        <v>0.64319999999999999</v>
      </c>
      <c r="J13" s="68">
        <f t="shared" si="1"/>
        <v>1.9332179999999999</v>
      </c>
      <c r="K13" s="70">
        <f t="shared" si="2"/>
        <v>11.139018</v>
      </c>
      <c r="L13" s="31"/>
      <c r="M13" s="66">
        <v>11</v>
      </c>
      <c r="N13" s="66">
        <v>11</v>
      </c>
      <c r="O13" s="67">
        <v>10.68</v>
      </c>
      <c r="P13" s="67">
        <f t="shared" si="10"/>
        <v>0.69420000000000004</v>
      </c>
      <c r="Q13" s="67">
        <f t="shared" si="11"/>
        <v>0.85440000000000005</v>
      </c>
      <c r="R13" s="68">
        <f t="shared" si="12"/>
        <v>2.568006</v>
      </c>
      <c r="S13" s="70">
        <f t="shared" si="13"/>
        <v>14.796606000000001</v>
      </c>
    </row>
    <row r="14" spans="1:27" x14ac:dyDescent="0.2">
      <c r="A14" s="7">
        <v>12</v>
      </c>
      <c r="B14" s="7">
        <f t="shared" si="7"/>
        <v>20.52</v>
      </c>
      <c r="C14" s="54">
        <f t="shared" si="8"/>
        <v>14.062317500000001</v>
      </c>
      <c r="D14" s="54">
        <f t="shared" si="9"/>
        <v>17.927722999999997</v>
      </c>
      <c r="E14" s="64"/>
      <c r="F14" s="66">
        <v>16</v>
      </c>
      <c r="G14" s="67">
        <v>9.1199999999999992</v>
      </c>
      <c r="H14" s="67">
        <f t="shared" si="5"/>
        <v>0.59279999999999999</v>
      </c>
      <c r="I14" s="67">
        <f t="shared" si="6"/>
        <v>0.72959999999999992</v>
      </c>
      <c r="J14" s="68">
        <f t="shared" si="1"/>
        <v>2.192904</v>
      </c>
      <c r="K14" s="70">
        <f t="shared" si="2"/>
        <v>12.635304</v>
      </c>
      <c r="L14" s="31"/>
      <c r="M14" s="66">
        <v>12</v>
      </c>
      <c r="N14" s="66">
        <v>12</v>
      </c>
      <c r="O14" s="67">
        <v>10.68</v>
      </c>
      <c r="P14" s="67">
        <f t="shared" si="10"/>
        <v>0.69420000000000004</v>
      </c>
      <c r="Q14" s="67">
        <f t="shared" si="11"/>
        <v>0.85440000000000005</v>
      </c>
      <c r="R14" s="68">
        <f t="shared" si="12"/>
        <v>2.568006</v>
      </c>
      <c r="S14" s="70">
        <f t="shared" si="13"/>
        <v>14.796606000000001</v>
      </c>
    </row>
    <row r="15" spans="1:27" x14ac:dyDescent="0.2">
      <c r="A15" s="7">
        <v>13</v>
      </c>
      <c r="B15" s="7">
        <f t="shared" si="7"/>
        <v>22.23</v>
      </c>
      <c r="C15" s="54">
        <f t="shared" si="8"/>
        <v>14.062317500000001</v>
      </c>
      <c r="D15" s="54">
        <f t="shared" si="9"/>
        <v>17.927722999999997</v>
      </c>
      <c r="E15" s="64"/>
      <c r="F15" s="66">
        <v>17</v>
      </c>
      <c r="G15" s="67">
        <v>9.1199999999999992</v>
      </c>
      <c r="H15" s="67">
        <f t="shared" si="5"/>
        <v>0.59279999999999999</v>
      </c>
      <c r="I15" s="67">
        <f t="shared" si="6"/>
        <v>0.72959999999999992</v>
      </c>
      <c r="J15" s="68">
        <f t="shared" si="1"/>
        <v>2.192904</v>
      </c>
      <c r="K15" s="70">
        <f t="shared" si="2"/>
        <v>12.635304</v>
      </c>
      <c r="L15" s="31"/>
      <c r="M15" s="66">
        <v>13</v>
      </c>
      <c r="N15" s="66">
        <v>13</v>
      </c>
      <c r="O15" s="67">
        <v>10.68</v>
      </c>
      <c r="P15" s="67">
        <f t="shared" si="10"/>
        <v>0.69420000000000004</v>
      </c>
      <c r="Q15" s="67">
        <f t="shared" si="11"/>
        <v>0.85440000000000005</v>
      </c>
      <c r="R15" s="68">
        <f t="shared" si="12"/>
        <v>2.568006</v>
      </c>
      <c r="S15" s="70">
        <f t="shared" si="13"/>
        <v>14.796606000000001</v>
      </c>
    </row>
    <row r="16" spans="1:27" x14ac:dyDescent="0.2">
      <c r="A16" s="7">
        <v>14</v>
      </c>
      <c r="B16" s="7">
        <f t="shared" si="7"/>
        <v>23.939999999999998</v>
      </c>
      <c r="C16" s="54">
        <f t="shared" si="8"/>
        <v>14.062317500000001</v>
      </c>
      <c r="D16" s="54">
        <f t="shared" si="9"/>
        <v>17.927722999999997</v>
      </c>
      <c r="E16" s="64"/>
      <c r="F16" s="66">
        <v>18</v>
      </c>
      <c r="G16" s="67">
        <v>9.1199999999999992</v>
      </c>
      <c r="H16" s="67">
        <f t="shared" si="5"/>
        <v>0.59279999999999999</v>
      </c>
      <c r="I16" s="67">
        <f t="shared" si="6"/>
        <v>0.72959999999999992</v>
      </c>
      <c r="J16" s="68">
        <f t="shared" si="1"/>
        <v>2.192904</v>
      </c>
      <c r="K16" s="70">
        <f t="shared" si="2"/>
        <v>12.635304</v>
      </c>
      <c r="L16" s="31"/>
      <c r="M16" s="66">
        <v>14</v>
      </c>
      <c r="N16" s="66">
        <v>14</v>
      </c>
      <c r="O16" s="67">
        <v>10.68</v>
      </c>
      <c r="P16" s="67">
        <f t="shared" si="10"/>
        <v>0.69420000000000004</v>
      </c>
      <c r="Q16" s="67">
        <f t="shared" si="11"/>
        <v>0.85440000000000005</v>
      </c>
      <c r="R16" s="68">
        <f t="shared" si="12"/>
        <v>2.568006</v>
      </c>
      <c r="S16" s="70">
        <f t="shared" si="13"/>
        <v>14.796606000000001</v>
      </c>
    </row>
    <row r="17" spans="1:19" x14ac:dyDescent="0.2">
      <c r="A17" s="7">
        <v>15</v>
      </c>
      <c r="B17" s="7">
        <f t="shared" si="7"/>
        <v>25.65</v>
      </c>
      <c r="C17" s="54">
        <f t="shared" si="8"/>
        <v>16.362164500000002</v>
      </c>
      <c r="D17" s="54">
        <f t="shared" si="9"/>
        <v>21.017276500000001</v>
      </c>
      <c r="E17" s="64"/>
      <c r="F17" s="66">
        <v>19</v>
      </c>
      <c r="G17" s="67">
        <v>9.1199999999999992</v>
      </c>
      <c r="H17" s="67">
        <f t="shared" si="5"/>
        <v>0.59279999999999999</v>
      </c>
      <c r="I17" s="67">
        <f t="shared" si="6"/>
        <v>0.72959999999999992</v>
      </c>
      <c r="J17" s="68">
        <f t="shared" si="1"/>
        <v>2.192904</v>
      </c>
      <c r="K17" s="70">
        <f t="shared" si="2"/>
        <v>12.635304</v>
      </c>
      <c r="L17" s="31"/>
      <c r="M17" s="66">
        <v>15</v>
      </c>
      <c r="N17" s="66">
        <v>15</v>
      </c>
      <c r="O17" s="67">
        <v>10.68</v>
      </c>
      <c r="P17" s="67">
        <f t="shared" si="10"/>
        <v>0.69420000000000004</v>
      </c>
      <c r="Q17" s="67">
        <f t="shared" si="11"/>
        <v>0.85440000000000005</v>
      </c>
      <c r="R17" s="68">
        <f t="shared" si="12"/>
        <v>2.568006</v>
      </c>
      <c r="S17" s="70">
        <f t="shared" si="13"/>
        <v>14.796606000000001</v>
      </c>
    </row>
    <row r="18" spans="1:19" x14ac:dyDescent="0.2">
      <c r="A18" s="7">
        <v>16</v>
      </c>
      <c r="B18" s="7">
        <f t="shared" si="7"/>
        <v>27.36</v>
      </c>
      <c r="C18" s="54">
        <f t="shared" si="8"/>
        <v>16.362164500000002</v>
      </c>
      <c r="D18" s="54">
        <f t="shared" si="9"/>
        <v>21.017276500000001</v>
      </c>
      <c r="E18" s="64"/>
      <c r="F18" s="66">
        <v>20</v>
      </c>
      <c r="G18" s="67">
        <v>9.1199999999999992</v>
      </c>
      <c r="H18" s="67">
        <f t="shared" si="5"/>
        <v>0.59279999999999999</v>
      </c>
      <c r="I18" s="67">
        <f t="shared" si="6"/>
        <v>0.72959999999999992</v>
      </c>
      <c r="J18" s="68">
        <f t="shared" si="1"/>
        <v>2.192904</v>
      </c>
      <c r="K18" s="70">
        <f t="shared" si="2"/>
        <v>12.635304</v>
      </c>
      <c r="L18" s="31"/>
      <c r="M18" s="66">
        <v>16</v>
      </c>
      <c r="N18" s="66">
        <v>16</v>
      </c>
      <c r="O18" s="67">
        <v>11.81</v>
      </c>
      <c r="P18" s="67">
        <f t="shared" si="10"/>
        <v>0.76765000000000005</v>
      </c>
      <c r="Q18" s="67">
        <f t="shared" si="11"/>
        <v>0.94480000000000008</v>
      </c>
      <c r="R18" s="68">
        <f t="shared" si="12"/>
        <v>2.8397144999999999</v>
      </c>
      <c r="S18" s="70">
        <f t="shared" si="13"/>
        <v>16.362164500000002</v>
      </c>
    </row>
    <row r="19" spans="1:19" x14ac:dyDescent="0.2">
      <c r="A19" s="7">
        <v>17</v>
      </c>
      <c r="B19" s="7">
        <f t="shared" si="7"/>
        <v>29.07</v>
      </c>
      <c r="C19" s="54">
        <f t="shared" si="8"/>
        <v>16.362164500000002</v>
      </c>
      <c r="D19" s="54">
        <f t="shared" si="9"/>
        <v>21.017276500000001</v>
      </c>
      <c r="E19" s="64"/>
      <c r="F19" s="66">
        <v>21</v>
      </c>
      <c r="G19" s="67">
        <v>10.15</v>
      </c>
      <c r="H19" s="67">
        <f t="shared" si="5"/>
        <v>0.65975000000000006</v>
      </c>
      <c r="I19" s="67">
        <f t="shared" si="6"/>
        <v>0.81200000000000006</v>
      </c>
      <c r="J19" s="68">
        <f t="shared" si="1"/>
        <v>2.4405675000000002</v>
      </c>
      <c r="K19" s="70">
        <f t="shared" si="2"/>
        <v>14.062317500000001</v>
      </c>
      <c r="L19" s="31"/>
      <c r="M19" s="66">
        <v>17</v>
      </c>
      <c r="N19" s="66">
        <v>17</v>
      </c>
      <c r="O19" s="67">
        <v>11.81</v>
      </c>
      <c r="P19" s="67">
        <f t="shared" si="10"/>
        <v>0.76765000000000005</v>
      </c>
      <c r="Q19" s="67">
        <f t="shared" si="11"/>
        <v>0.94480000000000008</v>
      </c>
      <c r="R19" s="68">
        <f t="shared" si="12"/>
        <v>2.8397144999999999</v>
      </c>
      <c r="S19" s="70">
        <f t="shared" si="13"/>
        <v>16.362164500000002</v>
      </c>
    </row>
    <row r="20" spans="1:19" x14ac:dyDescent="0.2">
      <c r="A20" s="7">
        <v>18</v>
      </c>
      <c r="B20" s="7">
        <f t="shared" si="7"/>
        <v>30.78</v>
      </c>
      <c r="C20" s="54">
        <f t="shared" si="8"/>
        <v>18.56503</v>
      </c>
      <c r="D20" s="54">
        <f t="shared" si="9"/>
        <v>24.092975500000001</v>
      </c>
      <c r="E20" s="64"/>
      <c r="F20" s="66">
        <v>22</v>
      </c>
      <c r="G20" s="67">
        <v>10.15</v>
      </c>
      <c r="H20" s="67">
        <f t="shared" si="5"/>
        <v>0.65975000000000006</v>
      </c>
      <c r="I20" s="67">
        <f t="shared" si="6"/>
        <v>0.81200000000000006</v>
      </c>
      <c r="J20" s="68">
        <f t="shared" si="1"/>
        <v>2.4405675000000002</v>
      </c>
      <c r="K20" s="70">
        <f t="shared" si="2"/>
        <v>14.062317500000001</v>
      </c>
      <c r="L20" s="31"/>
      <c r="M20" s="66">
        <v>18</v>
      </c>
      <c r="N20" s="66">
        <v>18</v>
      </c>
      <c r="O20" s="67">
        <v>11.81</v>
      </c>
      <c r="P20" s="67">
        <f t="shared" si="10"/>
        <v>0.76765000000000005</v>
      </c>
      <c r="Q20" s="67">
        <f t="shared" si="11"/>
        <v>0.94480000000000008</v>
      </c>
      <c r="R20" s="68">
        <f t="shared" si="12"/>
        <v>2.8397144999999999</v>
      </c>
      <c r="S20" s="70">
        <f t="shared" si="13"/>
        <v>16.362164500000002</v>
      </c>
    </row>
    <row r="21" spans="1:19" x14ac:dyDescent="0.2">
      <c r="A21" s="7">
        <v>19</v>
      </c>
      <c r="B21" s="7">
        <f t="shared" si="7"/>
        <v>32.49</v>
      </c>
      <c r="C21" s="54">
        <f t="shared" si="8"/>
        <v>18.56503</v>
      </c>
      <c r="D21" s="54">
        <f t="shared" si="9"/>
        <v>24.092975500000001</v>
      </c>
      <c r="E21" s="64"/>
      <c r="F21" s="66">
        <v>23</v>
      </c>
      <c r="G21" s="67">
        <v>10.15</v>
      </c>
      <c r="H21" s="67">
        <f t="shared" si="5"/>
        <v>0.65975000000000006</v>
      </c>
      <c r="I21" s="67">
        <f t="shared" si="6"/>
        <v>0.81200000000000006</v>
      </c>
      <c r="J21" s="68">
        <f t="shared" si="1"/>
        <v>2.4405675000000002</v>
      </c>
      <c r="K21" s="70">
        <f t="shared" si="2"/>
        <v>14.062317500000001</v>
      </c>
      <c r="L21" s="31"/>
      <c r="M21" s="66">
        <v>19</v>
      </c>
      <c r="N21" s="66">
        <v>19</v>
      </c>
      <c r="O21" s="67">
        <v>11.81</v>
      </c>
      <c r="P21" s="67">
        <f t="shared" si="10"/>
        <v>0.76765000000000005</v>
      </c>
      <c r="Q21" s="67">
        <f t="shared" si="11"/>
        <v>0.94480000000000008</v>
      </c>
      <c r="R21" s="68">
        <f t="shared" si="12"/>
        <v>2.8397144999999999</v>
      </c>
      <c r="S21" s="70">
        <f t="shared" si="13"/>
        <v>16.362164500000002</v>
      </c>
    </row>
    <row r="22" spans="1:19" x14ac:dyDescent="0.2">
      <c r="A22" s="7">
        <v>20</v>
      </c>
      <c r="B22" s="7">
        <f t="shared" si="7"/>
        <v>34.200000000000003</v>
      </c>
      <c r="C22" s="54">
        <f t="shared" si="8"/>
        <v>18.56503</v>
      </c>
      <c r="D22" s="54">
        <f t="shared" si="9"/>
        <v>24.092975500000001</v>
      </c>
      <c r="E22" s="64"/>
      <c r="F22" s="66">
        <v>24</v>
      </c>
      <c r="G22" s="67">
        <v>10.15</v>
      </c>
      <c r="H22" s="67">
        <f t="shared" si="5"/>
        <v>0.65975000000000006</v>
      </c>
      <c r="I22" s="67">
        <f t="shared" si="6"/>
        <v>0.81200000000000006</v>
      </c>
      <c r="J22" s="68">
        <f t="shared" si="1"/>
        <v>2.4405675000000002</v>
      </c>
      <c r="K22" s="70">
        <f t="shared" si="2"/>
        <v>14.062317500000001</v>
      </c>
      <c r="L22" s="31"/>
      <c r="M22" s="66">
        <v>20</v>
      </c>
      <c r="N22" s="66">
        <v>20</v>
      </c>
      <c r="O22" s="67">
        <v>11.81</v>
      </c>
      <c r="P22" s="67">
        <f t="shared" si="10"/>
        <v>0.76765000000000005</v>
      </c>
      <c r="Q22" s="67">
        <f t="shared" si="11"/>
        <v>0.94480000000000008</v>
      </c>
      <c r="R22" s="68">
        <f t="shared" si="12"/>
        <v>2.8397144999999999</v>
      </c>
      <c r="S22" s="70">
        <f t="shared" si="13"/>
        <v>16.362164500000002</v>
      </c>
    </row>
    <row r="23" spans="1:19" x14ac:dyDescent="0.2">
      <c r="A23" s="7">
        <v>21</v>
      </c>
      <c r="B23" s="7">
        <f t="shared" si="7"/>
        <v>35.909999999999997</v>
      </c>
      <c r="C23" s="54">
        <f t="shared" si="8"/>
        <v>20.7956045</v>
      </c>
      <c r="D23" s="54">
        <f t="shared" si="9"/>
        <v>27.251801499999999</v>
      </c>
      <c r="E23" s="64"/>
      <c r="F23" s="66">
        <v>25</v>
      </c>
      <c r="G23" s="67">
        <v>10.15</v>
      </c>
      <c r="H23" s="67">
        <f t="shared" si="5"/>
        <v>0.65975000000000006</v>
      </c>
      <c r="I23" s="67">
        <f t="shared" si="6"/>
        <v>0.81200000000000006</v>
      </c>
      <c r="J23" s="68">
        <f t="shared" si="1"/>
        <v>2.4405675000000002</v>
      </c>
      <c r="K23" s="70">
        <f t="shared" si="2"/>
        <v>14.062317500000001</v>
      </c>
      <c r="L23" s="31"/>
      <c r="M23" s="66">
        <v>21</v>
      </c>
      <c r="N23" s="66">
        <v>21</v>
      </c>
      <c r="O23" s="67">
        <v>12.94</v>
      </c>
      <c r="P23" s="67">
        <f t="shared" si="10"/>
        <v>0.84109999999999996</v>
      </c>
      <c r="Q23" s="67">
        <f t="shared" si="11"/>
        <v>1.0351999999999999</v>
      </c>
      <c r="R23" s="68">
        <f t="shared" si="12"/>
        <v>3.1114229999999994</v>
      </c>
      <c r="S23" s="70">
        <f t="shared" si="13"/>
        <v>17.927722999999997</v>
      </c>
    </row>
    <row r="24" spans="1:19" x14ac:dyDescent="0.2">
      <c r="A24" s="7">
        <v>22</v>
      </c>
      <c r="B24" s="7">
        <f t="shared" si="7"/>
        <v>37.619999999999997</v>
      </c>
      <c r="C24" s="54">
        <f t="shared" si="8"/>
        <v>20.7956045</v>
      </c>
      <c r="D24" s="54">
        <f t="shared" si="9"/>
        <v>27.251801499999999</v>
      </c>
      <c r="E24" s="64"/>
      <c r="F24" s="66">
        <v>26</v>
      </c>
      <c r="G24" s="67">
        <v>11.81</v>
      </c>
      <c r="H24" s="67">
        <f t="shared" si="5"/>
        <v>0.76765000000000005</v>
      </c>
      <c r="I24" s="67">
        <f t="shared" si="6"/>
        <v>0.94480000000000008</v>
      </c>
      <c r="J24" s="68">
        <f t="shared" si="1"/>
        <v>2.8397144999999999</v>
      </c>
      <c r="K24" s="70">
        <f t="shared" si="2"/>
        <v>16.362164500000002</v>
      </c>
      <c r="L24" s="31"/>
      <c r="M24" s="66">
        <v>22</v>
      </c>
      <c r="N24" s="66">
        <v>22</v>
      </c>
      <c r="O24" s="67">
        <v>12.94</v>
      </c>
      <c r="P24" s="67">
        <f t="shared" si="10"/>
        <v>0.84109999999999996</v>
      </c>
      <c r="Q24" s="67">
        <f t="shared" si="11"/>
        <v>1.0351999999999999</v>
      </c>
      <c r="R24" s="68">
        <f t="shared" si="12"/>
        <v>3.1114229999999994</v>
      </c>
      <c r="S24" s="70">
        <f t="shared" si="13"/>
        <v>17.927722999999997</v>
      </c>
    </row>
    <row r="25" spans="1:19" x14ac:dyDescent="0.2">
      <c r="A25" s="7">
        <v>23</v>
      </c>
      <c r="B25" s="7">
        <f t="shared" si="7"/>
        <v>39.33</v>
      </c>
      <c r="C25" s="54">
        <f t="shared" si="8"/>
        <v>20.7956045</v>
      </c>
      <c r="D25" s="54">
        <f t="shared" si="9"/>
        <v>27.251801499999999</v>
      </c>
      <c r="E25" s="64"/>
      <c r="F25" s="66">
        <v>27</v>
      </c>
      <c r="G25" s="67">
        <v>11.81</v>
      </c>
      <c r="H25" s="67">
        <f t="shared" si="5"/>
        <v>0.76765000000000005</v>
      </c>
      <c r="I25" s="67">
        <f t="shared" si="6"/>
        <v>0.94480000000000008</v>
      </c>
      <c r="J25" s="68">
        <f t="shared" si="1"/>
        <v>2.8397144999999999</v>
      </c>
      <c r="K25" s="70">
        <f t="shared" si="2"/>
        <v>16.362164500000002</v>
      </c>
      <c r="L25" s="31"/>
      <c r="M25" s="66">
        <v>23</v>
      </c>
      <c r="N25" s="66">
        <v>23</v>
      </c>
      <c r="O25" s="67">
        <v>12.94</v>
      </c>
      <c r="P25" s="67">
        <f t="shared" si="10"/>
        <v>0.84109999999999996</v>
      </c>
      <c r="Q25" s="67">
        <f t="shared" si="11"/>
        <v>1.0351999999999999</v>
      </c>
      <c r="R25" s="68">
        <f t="shared" si="12"/>
        <v>3.1114229999999994</v>
      </c>
      <c r="S25" s="70">
        <f t="shared" si="13"/>
        <v>17.927722999999997</v>
      </c>
    </row>
    <row r="26" spans="1:19" x14ac:dyDescent="0.2">
      <c r="A26" s="7">
        <v>24</v>
      </c>
      <c r="B26" s="7">
        <f t="shared" si="7"/>
        <v>41.04</v>
      </c>
      <c r="C26" s="54">
        <f t="shared" si="8"/>
        <v>23.982139499999999</v>
      </c>
      <c r="D26" s="54">
        <f t="shared" si="9"/>
        <v>27.251801499999999</v>
      </c>
      <c r="E26" s="64"/>
      <c r="F26" s="66">
        <v>28</v>
      </c>
      <c r="G26" s="67">
        <v>11.81</v>
      </c>
      <c r="H26" s="67">
        <f t="shared" si="5"/>
        <v>0.76765000000000005</v>
      </c>
      <c r="I26" s="67">
        <f t="shared" si="6"/>
        <v>0.94480000000000008</v>
      </c>
      <c r="J26" s="68">
        <f t="shared" si="1"/>
        <v>2.8397144999999999</v>
      </c>
      <c r="K26" s="70">
        <f t="shared" si="2"/>
        <v>16.362164500000002</v>
      </c>
      <c r="L26" s="31"/>
      <c r="M26" s="66">
        <v>24</v>
      </c>
      <c r="N26" s="66">
        <v>24</v>
      </c>
      <c r="O26" s="67">
        <v>12.94</v>
      </c>
      <c r="P26" s="67">
        <f t="shared" si="10"/>
        <v>0.84109999999999996</v>
      </c>
      <c r="Q26" s="67">
        <f t="shared" si="11"/>
        <v>1.0351999999999999</v>
      </c>
      <c r="R26" s="68">
        <f t="shared" si="12"/>
        <v>3.1114229999999994</v>
      </c>
      <c r="S26" s="70">
        <f t="shared" si="13"/>
        <v>17.927722999999997</v>
      </c>
    </row>
    <row r="27" spans="1:19" ht="15.75" thickBot="1" x14ac:dyDescent="0.25">
      <c r="A27" s="52">
        <v>25</v>
      </c>
      <c r="B27" s="52">
        <f t="shared" si="7"/>
        <v>42.75</v>
      </c>
      <c r="C27" s="54">
        <f t="shared" si="8"/>
        <v>23.982139499999999</v>
      </c>
      <c r="D27" s="54">
        <f t="shared" si="9"/>
        <v>27.251801499999999</v>
      </c>
      <c r="E27" s="64"/>
      <c r="F27" s="66">
        <v>29</v>
      </c>
      <c r="G27" s="67">
        <v>11.81</v>
      </c>
      <c r="H27" s="67">
        <f t="shared" si="5"/>
        <v>0.76765000000000005</v>
      </c>
      <c r="I27" s="67">
        <f t="shared" si="6"/>
        <v>0.94480000000000008</v>
      </c>
      <c r="J27" s="68">
        <f t="shared" si="1"/>
        <v>2.8397144999999999</v>
      </c>
      <c r="K27" s="70">
        <f t="shared" si="2"/>
        <v>16.362164500000002</v>
      </c>
      <c r="L27" s="31"/>
      <c r="M27" s="66">
        <v>25</v>
      </c>
      <c r="N27" s="66">
        <v>25</v>
      </c>
      <c r="O27" s="67">
        <v>12.94</v>
      </c>
      <c r="P27" s="67">
        <f t="shared" si="10"/>
        <v>0.84109999999999996</v>
      </c>
      <c r="Q27" s="67">
        <f t="shared" si="11"/>
        <v>1.0351999999999999</v>
      </c>
      <c r="R27" s="68">
        <f t="shared" si="12"/>
        <v>3.1114229999999994</v>
      </c>
      <c r="S27" s="70">
        <f t="shared" si="13"/>
        <v>17.927722999999997</v>
      </c>
    </row>
    <row r="28" spans="1:19" ht="15.75" thickTop="1" x14ac:dyDescent="0.2">
      <c r="A28" s="7">
        <v>26</v>
      </c>
      <c r="B28" s="7">
        <f t="shared" si="7"/>
        <v>44.46</v>
      </c>
      <c r="C28" s="54">
        <f t="shared" si="8"/>
        <v>23.982139499999999</v>
      </c>
      <c r="D28" s="54" t="e">
        <f t="shared" si="9"/>
        <v>#N/A</v>
      </c>
      <c r="E28" s="64"/>
      <c r="F28" s="66">
        <v>30</v>
      </c>
      <c r="G28" s="67">
        <v>11.81</v>
      </c>
      <c r="H28" s="67">
        <f t="shared" si="5"/>
        <v>0.76765000000000005</v>
      </c>
      <c r="I28" s="67">
        <f t="shared" si="6"/>
        <v>0.94480000000000008</v>
      </c>
      <c r="J28" s="68">
        <f t="shared" si="1"/>
        <v>2.8397144999999999</v>
      </c>
      <c r="K28" s="70">
        <f t="shared" si="2"/>
        <v>16.362164500000002</v>
      </c>
      <c r="L28" s="31"/>
      <c r="M28" s="66">
        <v>26</v>
      </c>
      <c r="N28" s="66">
        <v>26</v>
      </c>
      <c r="O28" s="67">
        <v>15.17</v>
      </c>
      <c r="P28" s="67">
        <f t="shared" si="10"/>
        <v>0.98604999999999998</v>
      </c>
      <c r="Q28" s="67">
        <f t="shared" si="11"/>
        <v>1.2136</v>
      </c>
      <c r="R28" s="68">
        <f t="shared" si="12"/>
        <v>3.6476264999999999</v>
      </c>
      <c r="S28" s="70">
        <f t="shared" si="13"/>
        <v>21.017276500000001</v>
      </c>
    </row>
    <row r="29" spans="1:19" x14ac:dyDescent="0.2">
      <c r="A29" s="7">
        <v>27</v>
      </c>
      <c r="B29" s="7">
        <f t="shared" si="7"/>
        <v>46.17</v>
      </c>
      <c r="C29" s="54">
        <f t="shared" si="8"/>
        <v>27.168674500000002</v>
      </c>
      <c r="D29" s="54" t="e">
        <f t="shared" si="9"/>
        <v>#N/A</v>
      </c>
      <c r="E29" s="64"/>
      <c r="F29" s="66">
        <v>31</v>
      </c>
      <c r="G29" s="67">
        <v>13.4</v>
      </c>
      <c r="H29" s="67">
        <f t="shared" si="5"/>
        <v>0.87100000000000011</v>
      </c>
      <c r="I29" s="67">
        <f t="shared" si="6"/>
        <v>1.0720000000000001</v>
      </c>
      <c r="J29" s="68">
        <f t="shared" si="1"/>
        <v>3.2220299999999997</v>
      </c>
      <c r="K29" s="70">
        <f t="shared" si="2"/>
        <v>18.56503</v>
      </c>
      <c r="L29" s="31"/>
      <c r="M29" s="66">
        <v>27</v>
      </c>
      <c r="N29" s="66">
        <v>27</v>
      </c>
      <c r="O29" s="67">
        <v>15.17</v>
      </c>
      <c r="P29" s="67">
        <f t="shared" si="10"/>
        <v>0.98604999999999998</v>
      </c>
      <c r="Q29" s="67">
        <f t="shared" si="11"/>
        <v>1.2136</v>
      </c>
      <c r="R29" s="68">
        <f t="shared" si="12"/>
        <v>3.6476264999999999</v>
      </c>
      <c r="S29" s="70">
        <f t="shared" si="13"/>
        <v>21.017276500000001</v>
      </c>
    </row>
    <row r="30" spans="1:19" x14ac:dyDescent="0.2">
      <c r="A30" s="7">
        <v>28</v>
      </c>
      <c r="B30" s="7">
        <f t="shared" si="7"/>
        <v>47.879999999999995</v>
      </c>
      <c r="C30" s="54">
        <f t="shared" si="8"/>
        <v>27.168674500000002</v>
      </c>
      <c r="D30" s="54" t="e">
        <f t="shared" si="9"/>
        <v>#N/A</v>
      </c>
      <c r="E30" s="64"/>
      <c r="F30" s="66">
        <v>32</v>
      </c>
      <c r="G30" s="67">
        <v>13.4</v>
      </c>
      <c r="H30" s="67">
        <f t="shared" si="5"/>
        <v>0.87100000000000011</v>
      </c>
      <c r="I30" s="67">
        <f t="shared" si="6"/>
        <v>1.0720000000000001</v>
      </c>
      <c r="J30" s="68">
        <f t="shared" si="1"/>
        <v>3.2220299999999997</v>
      </c>
      <c r="K30" s="70">
        <f t="shared" si="2"/>
        <v>18.56503</v>
      </c>
      <c r="L30" s="31"/>
      <c r="M30" s="66">
        <v>28</v>
      </c>
      <c r="N30" s="66">
        <v>28</v>
      </c>
      <c r="O30" s="67">
        <v>15.17</v>
      </c>
      <c r="P30" s="67">
        <f t="shared" si="10"/>
        <v>0.98604999999999998</v>
      </c>
      <c r="Q30" s="67">
        <f t="shared" si="11"/>
        <v>1.2136</v>
      </c>
      <c r="R30" s="68">
        <f t="shared" si="12"/>
        <v>3.6476264999999999</v>
      </c>
      <c r="S30" s="70">
        <f t="shared" si="13"/>
        <v>21.017276500000001</v>
      </c>
    </row>
    <row r="31" spans="1:19" x14ac:dyDescent="0.2">
      <c r="A31" s="7">
        <v>29</v>
      </c>
      <c r="B31" s="7">
        <f t="shared" si="7"/>
        <v>49.589999999999996</v>
      </c>
      <c r="C31" s="54">
        <f t="shared" si="8"/>
        <v>27.168674500000002</v>
      </c>
      <c r="D31" s="54" t="e">
        <f t="shared" si="9"/>
        <v>#N/A</v>
      </c>
      <c r="E31" s="64"/>
      <c r="F31" s="66">
        <v>33</v>
      </c>
      <c r="G31" s="67">
        <v>13.4</v>
      </c>
      <c r="H31" s="67">
        <f t="shared" si="5"/>
        <v>0.87100000000000011</v>
      </c>
      <c r="I31" s="67">
        <f t="shared" si="6"/>
        <v>1.0720000000000001</v>
      </c>
      <c r="J31" s="68">
        <f t="shared" si="1"/>
        <v>3.2220299999999997</v>
      </c>
      <c r="K31" s="70">
        <f t="shared" si="2"/>
        <v>18.56503</v>
      </c>
      <c r="L31" s="31"/>
      <c r="M31" s="66">
        <v>29</v>
      </c>
      <c r="N31" s="66">
        <v>29</v>
      </c>
      <c r="O31" s="67">
        <v>15.17</v>
      </c>
      <c r="P31" s="67">
        <f t="shared" si="10"/>
        <v>0.98604999999999998</v>
      </c>
      <c r="Q31" s="67">
        <f t="shared" si="11"/>
        <v>1.2136</v>
      </c>
      <c r="R31" s="68">
        <f t="shared" si="12"/>
        <v>3.6476264999999999</v>
      </c>
      <c r="S31" s="70">
        <f t="shared" si="13"/>
        <v>21.017276500000001</v>
      </c>
    </row>
    <row r="32" spans="1:19" x14ac:dyDescent="0.2">
      <c r="A32" s="7">
        <v>30</v>
      </c>
      <c r="B32" s="7">
        <f t="shared" si="7"/>
        <v>51.3</v>
      </c>
      <c r="C32" s="54">
        <f t="shared" si="8"/>
        <v>30.355209500000001</v>
      </c>
      <c r="D32" s="54" t="e">
        <f t="shared" si="9"/>
        <v>#N/A</v>
      </c>
      <c r="E32" s="64"/>
      <c r="F32" s="66">
        <v>34</v>
      </c>
      <c r="G32" s="67">
        <v>13.4</v>
      </c>
      <c r="H32" s="67">
        <f t="shared" si="5"/>
        <v>0.87100000000000011</v>
      </c>
      <c r="I32" s="67">
        <f t="shared" si="6"/>
        <v>1.0720000000000001</v>
      </c>
      <c r="J32" s="68">
        <f t="shared" si="1"/>
        <v>3.2220299999999997</v>
      </c>
      <c r="K32" s="70">
        <f t="shared" si="2"/>
        <v>18.56503</v>
      </c>
      <c r="L32" s="31"/>
      <c r="M32" s="66">
        <v>30</v>
      </c>
      <c r="N32" s="66">
        <v>30</v>
      </c>
      <c r="O32" s="67">
        <v>15.17</v>
      </c>
      <c r="P32" s="67">
        <f t="shared" si="10"/>
        <v>0.98604999999999998</v>
      </c>
      <c r="Q32" s="67">
        <f t="shared" si="11"/>
        <v>1.2136</v>
      </c>
      <c r="R32" s="68">
        <f t="shared" si="12"/>
        <v>3.6476264999999999</v>
      </c>
      <c r="S32" s="70">
        <f t="shared" si="13"/>
        <v>21.017276500000001</v>
      </c>
    </row>
    <row r="33" spans="1:19" x14ac:dyDescent="0.2">
      <c r="A33" s="7">
        <v>31</v>
      </c>
      <c r="B33" s="7">
        <f t="shared" si="7"/>
        <v>53.01</v>
      </c>
      <c r="C33" s="54">
        <f t="shared" si="8"/>
        <v>30.355209500000001</v>
      </c>
      <c r="D33" s="54" t="e">
        <f t="shared" si="9"/>
        <v>#N/A</v>
      </c>
      <c r="E33" s="64"/>
      <c r="F33" s="66">
        <v>35</v>
      </c>
      <c r="G33" s="67">
        <v>13.4</v>
      </c>
      <c r="H33" s="67">
        <f t="shared" si="5"/>
        <v>0.87100000000000011</v>
      </c>
      <c r="I33" s="67">
        <f t="shared" si="6"/>
        <v>1.0720000000000001</v>
      </c>
      <c r="J33" s="68">
        <f t="shared" si="1"/>
        <v>3.2220299999999997</v>
      </c>
      <c r="K33" s="70">
        <f t="shared" si="2"/>
        <v>18.56503</v>
      </c>
      <c r="L33" s="31"/>
      <c r="M33" s="66">
        <v>31</v>
      </c>
      <c r="N33" s="66">
        <v>31</v>
      </c>
      <c r="O33" s="67">
        <v>17.39</v>
      </c>
      <c r="P33" s="67">
        <f t="shared" si="10"/>
        <v>1.13035</v>
      </c>
      <c r="Q33" s="67">
        <f t="shared" si="11"/>
        <v>1.3912</v>
      </c>
      <c r="R33" s="68">
        <f t="shared" si="12"/>
        <v>4.1814255000000005</v>
      </c>
      <c r="S33" s="70">
        <f t="shared" si="13"/>
        <v>24.092975500000001</v>
      </c>
    </row>
    <row r="34" spans="1:19" x14ac:dyDescent="0.2">
      <c r="A34" s="7">
        <v>32</v>
      </c>
      <c r="B34" s="7">
        <f t="shared" si="7"/>
        <v>54.72</v>
      </c>
      <c r="C34" s="54">
        <f t="shared" si="8"/>
        <v>30.355209500000001</v>
      </c>
      <c r="D34" s="54" t="e">
        <f t="shared" si="9"/>
        <v>#N/A</v>
      </c>
      <c r="E34" s="64"/>
      <c r="F34" s="66">
        <v>36</v>
      </c>
      <c r="G34" s="67">
        <v>15.01</v>
      </c>
      <c r="H34" s="67">
        <f t="shared" si="5"/>
        <v>0.97565000000000002</v>
      </c>
      <c r="I34" s="67">
        <f t="shared" si="6"/>
        <v>1.2008000000000001</v>
      </c>
      <c r="J34" s="68">
        <f t="shared" si="1"/>
        <v>3.6091544999999998</v>
      </c>
      <c r="K34" s="70">
        <f t="shared" si="2"/>
        <v>20.7956045</v>
      </c>
      <c r="L34" s="31"/>
      <c r="M34" s="66">
        <v>32</v>
      </c>
      <c r="N34" s="66">
        <v>32</v>
      </c>
      <c r="O34" s="67">
        <v>17.39</v>
      </c>
      <c r="P34" s="67">
        <f t="shared" si="10"/>
        <v>1.13035</v>
      </c>
      <c r="Q34" s="67">
        <f t="shared" si="11"/>
        <v>1.3912</v>
      </c>
      <c r="R34" s="68">
        <f t="shared" si="12"/>
        <v>4.1814255000000005</v>
      </c>
      <c r="S34" s="70">
        <f t="shared" si="13"/>
        <v>24.092975500000001</v>
      </c>
    </row>
    <row r="35" spans="1:19" x14ac:dyDescent="0.2">
      <c r="A35" s="7">
        <v>33</v>
      </c>
      <c r="B35" s="7">
        <f t="shared" si="7"/>
        <v>56.43</v>
      </c>
      <c r="C35" s="54">
        <f t="shared" si="8"/>
        <v>33.541744500000007</v>
      </c>
      <c r="D35" s="54" t="e">
        <f t="shared" si="9"/>
        <v>#N/A</v>
      </c>
      <c r="E35" s="64"/>
      <c r="F35" s="66">
        <v>37</v>
      </c>
      <c r="G35" s="67">
        <v>15.01</v>
      </c>
      <c r="H35" s="67">
        <f t="shared" si="5"/>
        <v>0.97565000000000002</v>
      </c>
      <c r="I35" s="67">
        <f t="shared" si="6"/>
        <v>1.2008000000000001</v>
      </c>
      <c r="J35" s="68">
        <f t="shared" si="1"/>
        <v>3.6091544999999998</v>
      </c>
      <c r="K35" s="70">
        <f t="shared" si="2"/>
        <v>20.7956045</v>
      </c>
      <c r="L35" s="31"/>
      <c r="M35" s="66">
        <v>33</v>
      </c>
      <c r="N35" s="66">
        <v>33</v>
      </c>
      <c r="O35" s="67">
        <v>17.39</v>
      </c>
      <c r="P35" s="67">
        <f t="shared" si="10"/>
        <v>1.13035</v>
      </c>
      <c r="Q35" s="67">
        <f t="shared" si="11"/>
        <v>1.3912</v>
      </c>
      <c r="R35" s="68">
        <f t="shared" si="12"/>
        <v>4.1814255000000005</v>
      </c>
      <c r="S35" s="70">
        <f t="shared" si="13"/>
        <v>24.092975500000001</v>
      </c>
    </row>
    <row r="36" spans="1:19" x14ac:dyDescent="0.2">
      <c r="A36" s="7">
        <v>34</v>
      </c>
      <c r="B36" s="7">
        <f t="shared" si="7"/>
        <v>58.14</v>
      </c>
      <c r="C36" s="54">
        <f t="shared" si="8"/>
        <v>33.541744500000007</v>
      </c>
      <c r="D36" s="54" t="e">
        <f t="shared" si="9"/>
        <v>#N/A</v>
      </c>
      <c r="E36" s="64"/>
      <c r="F36" s="66">
        <v>38</v>
      </c>
      <c r="G36" s="67">
        <v>15.01</v>
      </c>
      <c r="H36" s="67">
        <f t="shared" si="5"/>
        <v>0.97565000000000002</v>
      </c>
      <c r="I36" s="67">
        <f t="shared" si="6"/>
        <v>1.2008000000000001</v>
      </c>
      <c r="J36" s="68">
        <f t="shared" si="1"/>
        <v>3.6091544999999998</v>
      </c>
      <c r="K36" s="70">
        <f t="shared" si="2"/>
        <v>20.7956045</v>
      </c>
      <c r="L36" s="31"/>
      <c r="M36" s="66">
        <v>34</v>
      </c>
      <c r="N36" s="66">
        <v>34</v>
      </c>
      <c r="O36" s="67">
        <v>17.39</v>
      </c>
      <c r="P36" s="67">
        <f t="shared" si="10"/>
        <v>1.13035</v>
      </c>
      <c r="Q36" s="67">
        <f t="shared" si="11"/>
        <v>1.3912</v>
      </c>
      <c r="R36" s="68">
        <f t="shared" si="12"/>
        <v>4.1814255000000005</v>
      </c>
      <c r="S36" s="70">
        <f t="shared" si="13"/>
        <v>24.092975500000001</v>
      </c>
    </row>
    <row r="37" spans="1:19" x14ac:dyDescent="0.2">
      <c r="A37" s="7">
        <v>35</v>
      </c>
      <c r="B37" s="7">
        <f t="shared" si="7"/>
        <v>59.85</v>
      </c>
      <c r="C37" s="54">
        <f t="shared" si="8"/>
        <v>33.541744500000007</v>
      </c>
      <c r="D37" s="54" t="e">
        <f t="shared" si="9"/>
        <v>#N/A</v>
      </c>
      <c r="E37" s="64"/>
      <c r="F37" s="66">
        <v>39</v>
      </c>
      <c r="G37" s="67">
        <v>15.01</v>
      </c>
      <c r="H37" s="67">
        <f t="shared" si="5"/>
        <v>0.97565000000000002</v>
      </c>
      <c r="I37" s="67">
        <f t="shared" si="6"/>
        <v>1.2008000000000001</v>
      </c>
      <c r="J37" s="68">
        <f t="shared" si="1"/>
        <v>3.6091544999999998</v>
      </c>
      <c r="K37" s="70">
        <f t="shared" si="2"/>
        <v>20.7956045</v>
      </c>
      <c r="L37" s="31"/>
      <c r="M37" s="66">
        <v>35</v>
      </c>
      <c r="N37" s="66">
        <v>35</v>
      </c>
      <c r="O37" s="67">
        <v>17.39</v>
      </c>
      <c r="P37" s="67">
        <f t="shared" si="10"/>
        <v>1.13035</v>
      </c>
      <c r="Q37" s="67">
        <f t="shared" si="11"/>
        <v>1.3912</v>
      </c>
      <c r="R37" s="68">
        <f t="shared" si="12"/>
        <v>4.1814255000000005</v>
      </c>
      <c r="S37" s="70">
        <f t="shared" si="13"/>
        <v>24.092975500000001</v>
      </c>
    </row>
    <row r="38" spans="1:19" x14ac:dyDescent="0.2">
      <c r="A38" s="7">
        <v>36</v>
      </c>
      <c r="B38" s="7">
        <f t="shared" si="7"/>
        <v>61.56</v>
      </c>
      <c r="C38" s="54">
        <f t="shared" si="8"/>
        <v>36.728279499999999</v>
      </c>
      <c r="D38" s="54" t="e">
        <f t="shared" si="9"/>
        <v>#N/A</v>
      </c>
      <c r="E38" s="64"/>
      <c r="F38" s="66">
        <v>40</v>
      </c>
      <c r="G38" s="67">
        <v>15.01</v>
      </c>
      <c r="H38" s="67">
        <f t="shared" si="5"/>
        <v>0.97565000000000002</v>
      </c>
      <c r="I38" s="67">
        <f t="shared" si="6"/>
        <v>1.2008000000000001</v>
      </c>
      <c r="J38" s="68">
        <f t="shared" si="1"/>
        <v>3.6091544999999998</v>
      </c>
      <c r="K38" s="70">
        <f t="shared" si="2"/>
        <v>20.7956045</v>
      </c>
      <c r="L38" s="31"/>
      <c r="M38" s="66">
        <v>36</v>
      </c>
      <c r="N38" s="66">
        <v>36</v>
      </c>
      <c r="O38" s="67">
        <v>19.670000000000002</v>
      </c>
      <c r="P38" s="67">
        <f t="shared" si="10"/>
        <v>1.2785500000000001</v>
      </c>
      <c r="Q38" s="67">
        <f t="shared" si="11"/>
        <v>1.5736000000000001</v>
      </c>
      <c r="R38" s="68">
        <f t="shared" si="12"/>
        <v>4.7296515000000001</v>
      </c>
      <c r="S38" s="70">
        <f t="shared" si="13"/>
        <v>27.251801499999999</v>
      </c>
    </row>
    <row r="39" spans="1:19" x14ac:dyDescent="0.2">
      <c r="A39" s="7">
        <v>37</v>
      </c>
      <c r="B39" s="7">
        <f t="shared" si="7"/>
        <v>63.269999999999996</v>
      </c>
      <c r="C39" s="54">
        <f t="shared" si="8"/>
        <v>36.728279499999999</v>
      </c>
      <c r="D39" s="54" t="e">
        <f t="shared" si="9"/>
        <v>#N/A</v>
      </c>
      <c r="E39" s="64"/>
      <c r="F39" s="66">
        <v>41</v>
      </c>
      <c r="G39" s="67">
        <f>$G$38+2.3</f>
        <v>17.309999999999999</v>
      </c>
      <c r="H39" s="67">
        <f t="shared" si="5"/>
        <v>1.1251499999999999</v>
      </c>
      <c r="I39" s="67">
        <f t="shared" si="6"/>
        <v>1.3848</v>
      </c>
      <c r="J39" s="68">
        <f t="shared" si="1"/>
        <v>4.1621894999999993</v>
      </c>
      <c r="K39" s="70">
        <f t="shared" si="2"/>
        <v>23.982139499999999</v>
      </c>
      <c r="L39" s="31"/>
      <c r="M39" s="66">
        <v>37</v>
      </c>
      <c r="N39" s="66">
        <v>37</v>
      </c>
      <c r="O39" s="67">
        <v>19.670000000000002</v>
      </c>
      <c r="P39" s="67">
        <f t="shared" si="10"/>
        <v>1.2785500000000001</v>
      </c>
      <c r="Q39" s="67">
        <f t="shared" si="11"/>
        <v>1.5736000000000001</v>
      </c>
      <c r="R39" s="68">
        <f t="shared" si="12"/>
        <v>4.7296515000000001</v>
      </c>
      <c r="S39" s="70">
        <f t="shared" si="13"/>
        <v>27.251801499999999</v>
      </c>
    </row>
    <row r="40" spans="1:19" x14ac:dyDescent="0.2">
      <c r="A40" s="7">
        <v>38</v>
      </c>
      <c r="B40" s="7">
        <f t="shared" si="7"/>
        <v>64.98</v>
      </c>
      <c r="C40" s="54">
        <f t="shared" si="8"/>
        <v>36.728279499999999</v>
      </c>
      <c r="D40" s="54" t="e">
        <f t="shared" si="9"/>
        <v>#N/A</v>
      </c>
      <c r="E40" s="64"/>
      <c r="F40" s="66">
        <v>42</v>
      </c>
      <c r="G40" s="67">
        <f t="shared" ref="G40:G43" si="14">$G$38+2.3</f>
        <v>17.309999999999999</v>
      </c>
      <c r="H40" s="67">
        <f t="shared" si="5"/>
        <v>1.1251499999999999</v>
      </c>
      <c r="I40" s="67">
        <f t="shared" si="6"/>
        <v>1.3848</v>
      </c>
      <c r="J40" s="68">
        <f t="shared" si="1"/>
        <v>4.1621894999999993</v>
      </c>
      <c r="K40" s="70">
        <f t="shared" si="2"/>
        <v>23.982139499999999</v>
      </c>
      <c r="L40" s="31"/>
      <c r="M40" s="66">
        <v>38</v>
      </c>
      <c r="N40" s="66">
        <v>38</v>
      </c>
      <c r="O40" s="67">
        <v>19.670000000000002</v>
      </c>
      <c r="P40" s="67">
        <f t="shared" si="10"/>
        <v>1.2785500000000001</v>
      </c>
      <c r="Q40" s="67">
        <f t="shared" si="11"/>
        <v>1.5736000000000001</v>
      </c>
      <c r="R40" s="68">
        <f t="shared" si="12"/>
        <v>4.7296515000000001</v>
      </c>
      <c r="S40" s="70">
        <f t="shared" si="13"/>
        <v>27.251801499999999</v>
      </c>
    </row>
    <row r="41" spans="1:19" x14ac:dyDescent="0.2">
      <c r="A41" s="7">
        <v>39</v>
      </c>
      <c r="B41" s="7">
        <f t="shared" si="7"/>
        <v>66.69</v>
      </c>
      <c r="C41" s="54">
        <f t="shared" si="8"/>
        <v>39.914814499999991</v>
      </c>
      <c r="D41" s="54" t="e">
        <f t="shared" si="9"/>
        <v>#N/A</v>
      </c>
      <c r="E41" s="64"/>
      <c r="F41" s="66">
        <v>43</v>
      </c>
      <c r="G41" s="67">
        <f t="shared" si="14"/>
        <v>17.309999999999999</v>
      </c>
      <c r="H41" s="67">
        <f t="shared" si="5"/>
        <v>1.1251499999999999</v>
      </c>
      <c r="I41" s="67">
        <f t="shared" si="6"/>
        <v>1.3848</v>
      </c>
      <c r="J41" s="68">
        <f t="shared" si="1"/>
        <v>4.1621894999999993</v>
      </c>
      <c r="K41" s="70">
        <f t="shared" si="2"/>
        <v>23.982139499999999</v>
      </c>
      <c r="L41" s="31"/>
      <c r="M41" s="66">
        <v>39</v>
      </c>
      <c r="N41" s="66">
        <v>39</v>
      </c>
      <c r="O41" s="67">
        <v>19.670000000000002</v>
      </c>
      <c r="P41" s="67">
        <f t="shared" si="10"/>
        <v>1.2785500000000001</v>
      </c>
      <c r="Q41" s="67">
        <f t="shared" si="11"/>
        <v>1.5736000000000001</v>
      </c>
      <c r="R41" s="68">
        <f t="shared" si="12"/>
        <v>4.7296515000000001</v>
      </c>
      <c r="S41" s="70">
        <f t="shared" si="13"/>
        <v>27.251801499999999</v>
      </c>
    </row>
    <row r="42" spans="1:19" x14ac:dyDescent="0.2">
      <c r="A42" s="7">
        <v>40</v>
      </c>
      <c r="B42" s="7">
        <f t="shared" si="7"/>
        <v>68.400000000000006</v>
      </c>
      <c r="C42" s="54">
        <f t="shared" si="8"/>
        <v>39.914814499999991</v>
      </c>
      <c r="D42" s="54" t="e">
        <f t="shared" si="9"/>
        <v>#N/A</v>
      </c>
      <c r="E42" s="64"/>
      <c r="F42" s="66">
        <v>44</v>
      </c>
      <c r="G42" s="67">
        <f t="shared" si="14"/>
        <v>17.309999999999999</v>
      </c>
      <c r="H42" s="67">
        <f t="shared" si="5"/>
        <v>1.1251499999999999</v>
      </c>
      <c r="I42" s="67">
        <f t="shared" si="6"/>
        <v>1.3848</v>
      </c>
      <c r="J42" s="68">
        <f t="shared" si="1"/>
        <v>4.1621894999999993</v>
      </c>
      <c r="K42" s="70">
        <f t="shared" si="2"/>
        <v>23.982139499999999</v>
      </c>
      <c r="L42" s="31"/>
      <c r="M42" s="66">
        <v>40</v>
      </c>
      <c r="N42" s="66">
        <v>40</v>
      </c>
      <c r="O42" s="74">
        <v>19.670000000000002</v>
      </c>
      <c r="P42" s="67">
        <f t="shared" si="10"/>
        <v>1.2785500000000001</v>
      </c>
      <c r="Q42" s="67">
        <f t="shared" si="11"/>
        <v>1.5736000000000001</v>
      </c>
      <c r="R42" s="68">
        <f t="shared" si="12"/>
        <v>4.7296515000000001</v>
      </c>
      <c r="S42" s="70">
        <f t="shared" si="13"/>
        <v>27.251801499999999</v>
      </c>
    </row>
    <row r="43" spans="1:19" x14ac:dyDescent="0.2">
      <c r="A43" s="7">
        <v>41</v>
      </c>
      <c r="B43" s="7">
        <f t="shared" si="7"/>
        <v>70.11</v>
      </c>
      <c r="C43" s="54">
        <f t="shared" si="8"/>
        <v>43.101349499999991</v>
      </c>
      <c r="D43" s="54" t="e">
        <f t="shared" si="9"/>
        <v>#N/A</v>
      </c>
      <c r="E43" s="64"/>
      <c r="F43" s="66">
        <v>45</v>
      </c>
      <c r="G43" s="67">
        <f t="shared" si="14"/>
        <v>17.309999999999999</v>
      </c>
      <c r="H43" s="67">
        <f t="shared" si="5"/>
        <v>1.1251499999999999</v>
      </c>
      <c r="I43" s="67">
        <f t="shared" si="6"/>
        <v>1.3848</v>
      </c>
      <c r="J43" s="68">
        <f t="shared" si="1"/>
        <v>4.1621894999999993</v>
      </c>
      <c r="K43" s="70">
        <f t="shared" si="2"/>
        <v>23.982139499999999</v>
      </c>
      <c r="L43" s="31"/>
      <c r="M43" s="66">
        <v>41</v>
      </c>
      <c r="N43" s="66">
        <v>41</v>
      </c>
      <c r="O43" s="74">
        <v>19.670000000000002</v>
      </c>
      <c r="P43" s="67">
        <f t="shared" si="10"/>
        <v>1.2785500000000001</v>
      </c>
      <c r="Q43" s="67">
        <f t="shared" si="11"/>
        <v>1.5736000000000001</v>
      </c>
      <c r="R43" s="68">
        <f t="shared" si="12"/>
        <v>4.7296515000000001</v>
      </c>
      <c r="S43" s="70">
        <f t="shared" si="13"/>
        <v>27.251801499999999</v>
      </c>
    </row>
    <row r="44" spans="1:19" x14ac:dyDescent="0.2">
      <c r="A44" s="7">
        <v>42</v>
      </c>
      <c r="B44" s="7">
        <f t="shared" si="7"/>
        <v>71.819999999999993</v>
      </c>
      <c r="C44" s="54">
        <f t="shared" si="8"/>
        <v>43.101349499999991</v>
      </c>
      <c r="D44" s="54" t="e">
        <f t="shared" si="9"/>
        <v>#N/A</v>
      </c>
      <c r="E44" s="64"/>
      <c r="F44" s="66">
        <v>46</v>
      </c>
      <c r="G44" s="67">
        <f>$G$38+(2.3*2)</f>
        <v>19.61</v>
      </c>
      <c r="H44" s="67">
        <f t="shared" si="5"/>
        <v>1.2746500000000001</v>
      </c>
      <c r="I44" s="67">
        <f t="shared" si="6"/>
        <v>1.5688</v>
      </c>
      <c r="J44" s="68">
        <f t="shared" si="1"/>
        <v>4.7152244999999997</v>
      </c>
      <c r="K44" s="70">
        <f t="shared" si="2"/>
        <v>27.168674500000002</v>
      </c>
      <c r="L44" s="31"/>
      <c r="M44" s="66">
        <v>42</v>
      </c>
      <c r="N44" s="66">
        <v>42</v>
      </c>
      <c r="O44" s="74">
        <v>19.670000000000002</v>
      </c>
      <c r="P44" s="67">
        <f t="shared" si="10"/>
        <v>1.2785500000000001</v>
      </c>
      <c r="Q44" s="67">
        <f t="shared" si="11"/>
        <v>1.5736000000000001</v>
      </c>
      <c r="R44" s="68">
        <f t="shared" si="12"/>
        <v>4.7296515000000001</v>
      </c>
      <c r="S44" s="70">
        <f t="shared" si="13"/>
        <v>27.251801499999999</v>
      </c>
    </row>
    <row r="45" spans="1:19" ht="15.75" thickBot="1" x14ac:dyDescent="0.25">
      <c r="A45" s="7">
        <v>43</v>
      </c>
      <c r="B45" s="7">
        <f t="shared" si="7"/>
        <v>73.53</v>
      </c>
      <c r="C45" s="54">
        <f t="shared" si="8"/>
        <v>43.101349499999991</v>
      </c>
      <c r="D45" s="54" t="e">
        <f t="shared" si="9"/>
        <v>#N/A</v>
      </c>
      <c r="E45" s="64"/>
      <c r="F45" s="66">
        <v>47</v>
      </c>
      <c r="G45" s="67">
        <f t="shared" ref="G45:G48" si="15">$G$38+(2.3*2)</f>
        <v>19.61</v>
      </c>
      <c r="H45" s="67">
        <f t="shared" si="5"/>
        <v>1.2746500000000001</v>
      </c>
      <c r="I45" s="67">
        <f t="shared" si="6"/>
        <v>1.5688</v>
      </c>
      <c r="J45" s="68">
        <f t="shared" si="1"/>
        <v>4.7152244999999997</v>
      </c>
      <c r="K45" s="70">
        <f t="shared" si="2"/>
        <v>27.168674500000002</v>
      </c>
      <c r="L45" s="31"/>
      <c r="M45" s="66">
        <v>43</v>
      </c>
      <c r="N45" s="75">
        <v>43</v>
      </c>
      <c r="O45" s="76">
        <v>19.670000000000002</v>
      </c>
      <c r="P45" s="67">
        <f t="shared" si="10"/>
        <v>1.2785500000000001</v>
      </c>
      <c r="Q45" s="67">
        <f t="shared" si="11"/>
        <v>1.5736000000000001</v>
      </c>
      <c r="R45" s="68">
        <f t="shared" si="12"/>
        <v>4.7296515000000001</v>
      </c>
      <c r="S45" s="70">
        <f t="shared" si="13"/>
        <v>27.251801499999999</v>
      </c>
    </row>
    <row r="46" spans="1:19" ht="15.75" thickTop="1" x14ac:dyDescent="0.2">
      <c r="A46" s="7">
        <v>44</v>
      </c>
      <c r="B46" s="7">
        <f t="shared" si="7"/>
        <v>75.239999999999995</v>
      </c>
      <c r="C46" s="54">
        <f t="shared" si="8"/>
        <v>46.287884499999997</v>
      </c>
      <c r="D46" s="54" t="e">
        <f t="shared" si="9"/>
        <v>#N/A</v>
      </c>
      <c r="E46" s="64"/>
      <c r="F46" s="66">
        <v>48</v>
      </c>
      <c r="G46" s="67">
        <f t="shared" si="15"/>
        <v>19.61</v>
      </c>
      <c r="H46" s="67">
        <f t="shared" si="5"/>
        <v>1.2746500000000001</v>
      </c>
      <c r="I46" s="67">
        <f t="shared" si="6"/>
        <v>1.5688</v>
      </c>
      <c r="J46" s="68">
        <f t="shared" si="1"/>
        <v>4.7152244999999997</v>
      </c>
      <c r="K46" s="70">
        <f t="shared" si="2"/>
        <v>27.168674500000002</v>
      </c>
      <c r="L46" s="31"/>
      <c r="M46" s="66">
        <v>44</v>
      </c>
      <c r="P46" s="67">
        <f t="shared" si="10"/>
        <v>0</v>
      </c>
      <c r="Q46" s="67">
        <f t="shared" si="11"/>
        <v>0</v>
      </c>
      <c r="R46" s="68"/>
      <c r="S46" s="70"/>
    </row>
    <row r="47" spans="1:19" x14ac:dyDescent="0.2">
      <c r="A47" s="7">
        <v>45</v>
      </c>
      <c r="B47" s="7">
        <f t="shared" si="7"/>
        <v>76.95</v>
      </c>
      <c r="C47" s="54">
        <f t="shared" si="8"/>
        <v>46.287884499999997</v>
      </c>
      <c r="D47" s="54" t="e">
        <f t="shared" si="9"/>
        <v>#N/A</v>
      </c>
      <c r="E47" s="64"/>
      <c r="F47" s="66">
        <v>49</v>
      </c>
      <c r="G47" s="67">
        <f t="shared" si="15"/>
        <v>19.61</v>
      </c>
      <c r="H47" s="67">
        <f t="shared" si="5"/>
        <v>1.2746500000000001</v>
      </c>
      <c r="I47" s="67">
        <f t="shared" si="6"/>
        <v>1.5688</v>
      </c>
      <c r="J47" s="68">
        <f t="shared" si="1"/>
        <v>4.7152244999999997</v>
      </c>
      <c r="K47" s="70">
        <f t="shared" si="2"/>
        <v>27.168674500000002</v>
      </c>
      <c r="L47" s="31"/>
      <c r="M47" s="66">
        <v>45</v>
      </c>
      <c r="P47" s="67">
        <f t="shared" si="10"/>
        <v>0</v>
      </c>
      <c r="Q47" s="67">
        <f t="shared" si="11"/>
        <v>0</v>
      </c>
      <c r="R47" s="68"/>
      <c r="S47" s="70"/>
    </row>
    <row r="48" spans="1:19" x14ac:dyDescent="0.2">
      <c r="A48" s="7">
        <v>46</v>
      </c>
      <c r="B48" s="7">
        <f t="shared" si="7"/>
        <v>78.66</v>
      </c>
      <c r="C48" s="54">
        <f t="shared" si="8"/>
        <v>46.287884499999997</v>
      </c>
      <c r="D48" s="54" t="e">
        <f t="shared" si="9"/>
        <v>#N/A</v>
      </c>
      <c r="E48" s="64"/>
      <c r="F48" s="66">
        <v>50</v>
      </c>
      <c r="G48" s="67">
        <f t="shared" si="15"/>
        <v>19.61</v>
      </c>
      <c r="H48" s="67">
        <f t="shared" si="5"/>
        <v>1.2746500000000001</v>
      </c>
      <c r="I48" s="67">
        <f t="shared" si="6"/>
        <v>1.5688</v>
      </c>
      <c r="J48" s="68">
        <f t="shared" si="1"/>
        <v>4.7152244999999997</v>
      </c>
      <c r="K48" s="70">
        <f t="shared" si="2"/>
        <v>27.168674500000002</v>
      </c>
      <c r="L48" s="31"/>
      <c r="M48" s="66">
        <v>46</v>
      </c>
      <c r="P48" s="67">
        <f t="shared" si="10"/>
        <v>0</v>
      </c>
      <c r="Q48" s="67">
        <f t="shared" si="11"/>
        <v>0</v>
      </c>
      <c r="R48" s="68"/>
      <c r="S48" s="70"/>
    </row>
    <row r="49" spans="1:19" x14ac:dyDescent="0.2">
      <c r="A49" s="7">
        <v>47</v>
      </c>
      <c r="B49" s="7">
        <f t="shared" si="7"/>
        <v>80.37</v>
      </c>
      <c r="C49" s="54">
        <f t="shared" si="8"/>
        <v>49.474419500000003</v>
      </c>
      <c r="D49" s="54" t="e">
        <f t="shared" si="9"/>
        <v>#N/A</v>
      </c>
      <c r="E49" s="64"/>
      <c r="F49" s="66">
        <v>51</v>
      </c>
      <c r="G49" s="67">
        <f>$G$38+(2.3*3)</f>
        <v>21.91</v>
      </c>
      <c r="H49" s="67">
        <f t="shared" si="5"/>
        <v>1.42415</v>
      </c>
      <c r="I49" s="67">
        <f t="shared" si="6"/>
        <v>1.7528000000000001</v>
      </c>
      <c r="J49" s="68">
        <f t="shared" si="1"/>
        <v>5.2682595000000001</v>
      </c>
      <c r="K49" s="70">
        <f t="shared" si="2"/>
        <v>30.355209500000001</v>
      </c>
      <c r="L49" s="31"/>
      <c r="M49" s="66">
        <v>47</v>
      </c>
      <c r="P49" s="67">
        <f t="shared" si="10"/>
        <v>0</v>
      </c>
      <c r="Q49" s="67">
        <f t="shared" si="11"/>
        <v>0</v>
      </c>
      <c r="R49" s="68"/>
      <c r="S49" s="70"/>
    </row>
    <row r="50" spans="1:19" x14ac:dyDescent="0.2">
      <c r="A50" s="7">
        <v>48</v>
      </c>
      <c r="B50" s="7">
        <f t="shared" si="7"/>
        <v>82.08</v>
      </c>
      <c r="C50" s="54">
        <f t="shared" si="8"/>
        <v>49.474419500000003</v>
      </c>
      <c r="D50" s="54" t="e">
        <f t="shared" si="9"/>
        <v>#N/A</v>
      </c>
      <c r="E50" s="64"/>
      <c r="F50" s="66">
        <v>52</v>
      </c>
      <c r="G50" s="67">
        <f t="shared" ref="G50:G53" si="16">$G$38+(2.3*3)</f>
        <v>21.91</v>
      </c>
      <c r="H50" s="67">
        <f t="shared" si="5"/>
        <v>1.42415</v>
      </c>
      <c r="I50" s="67">
        <f t="shared" si="6"/>
        <v>1.7528000000000001</v>
      </c>
      <c r="J50" s="68">
        <f t="shared" si="1"/>
        <v>5.2682595000000001</v>
      </c>
      <c r="K50" s="70">
        <f t="shared" si="2"/>
        <v>30.355209500000001</v>
      </c>
      <c r="L50" s="31"/>
      <c r="R50" s="68"/>
      <c r="S50" s="70"/>
    </row>
    <row r="51" spans="1:19" x14ac:dyDescent="0.2">
      <c r="A51" s="7">
        <v>49</v>
      </c>
      <c r="B51" s="7">
        <f t="shared" si="7"/>
        <v>83.789999999999992</v>
      </c>
      <c r="C51" s="54">
        <f t="shared" si="8"/>
        <v>49.474419500000003</v>
      </c>
      <c r="D51" s="54" t="e">
        <f t="shared" si="9"/>
        <v>#N/A</v>
      </c>
      <c r="E51" s="64"/>
      <c r="F51" s="66">
        <v>53</v>
      </c>
      <c r="G51" s="67">
        <f t="shared" si="16"/>
        <v>21.91</v>
      </c>
      <c r="H51" s="67">
        <f t="shared" si="5"/>
        <v>1.42415</v>
      </c>
      <c r="I51" s="67">
        <f t="shared" si="6"/>
        <v>1.7528000000000001</v>
      </c>
      <c r="J51" s="68">
        <f t="shared" si="1"/>
        <v>5.2682595000000001</v>
      </c>
      <c r="K51" s="70">
        <f t="shared" si="2"/>
        <v>30.355209500000001</v>
      </c>
      <c r="L51" s="31"/>
      <c r="R51" s="68"/>
      <c r="S51" s="70"/>
    </row>
    <row r="52" spans="1:19" x14ac:dyDescent="0.2">
      <c r="A52" s="7">
        <v>50</v>
      </c>
      <c r="B52" s="7">
        <f t="shared" si="7"/>
        <v>85.5</v>
      </c>
      <c r="C52" s="54">
        <f t="shared" si="8"/>
        <v>52.660954499999995</v>
      </c>
      <c r="D52" s="54" t="e">
        <f t="shared" si="9"/>
        <v>#N/A</v>
      </c>
      <c r="E52" s="64"/>
      <c r="F52" s="66">
        <v>54</v>
      </c>
      <c r="G52" s="67">
        <f t="shared" si="16"/>
        <v>21.91</v>
      </c>
      <c r="H52" s="67">
        <f t="shared" si="5"/>
        <v>1.42415</v>
      </c>
      <c r="I52" s="67">
        <f t="shared" si="6"/>
        <v>1.7528000000000001</v>
      </c>
      <c r="J52" s="68">
        <f t="shared" si="1"/>
        <v>5.2682595000000001</v>
      </c>
      <c r="K52" s="70">
        <f t="shared" si="2"/>
        <v>30.355209500000001</v>
      </c>
      <c r="L52" s="31"/>
      <c r="R52" s="68"/>
      <c r="S52" s="70"/>
    </row>
    <row r="53" spans="1:19" x14ac:dyDescent="0.2">
      <c r="A53" s="7">
        <v>51</v>
      </c>
      <c r="B53" s="7">
        <f t="shared" si="7"/>
        <v>87.21</v>
      </c>
      <c r="C53" s="54">
        <f t="shared" si="8"/>
        <v>52.660954499999995</v>
      </c>
      <c r="D53" s="54" t="e">
        <f t="shared" si="9"/>
        <v>#N/A</v>
      </c>
      <c r="E53" s="64"/>
      <c r="F53" s="66">
        <v>55</v>
      </c>
      <c r="G53" s="67">
        <f t="shared" si="16"/>
        <v>21.91</v>
      </c>
      <c r="H53" s="67">
        <f t="shared" si="5"/>
        <v>1.42415</v>
      </c>
      <c r="I53" s="67">
        <f t="shared" si="6"/>
        <v>1.7528000000000001</v>
      </c>
      <c r="J53" s="68">
        <f t="shared" si="1"/>
        <v>5.2682595000000001</v>
      </c>
      <c r="K53" s="70">
        <f t="shared" si="2"/>
        <v>30.355209500000001</v>
      </c>
      <c r="L53" s="31"/>
      <c r="R53" s="68"/>
      <c r="S53" s="70"/>
    </row>
    <row r="54" spans="1:19" x14ac:dyDescent="0.2">
      <c r="A54" s="7">
        <v>52</v>
      </c>
      <c r="B54" s="7">
        <f t="shared" si="7"/>
        <v>88.92</v>
      </c>
      <c r="C54" s="54">
        <f t="shared" si="8"/>
        <v>52.660954499999995</v>
      </c>
      <c r="D54" s="54" t="e">
        <f t="shared" si="9"/>
        <v>#N/A</v>
      </c>
      <c r="E54" s="64"/>
      <c r="F54" s="66">
        <v>56</v>
      </c>
      <c r="G54" s="67">
        <f>$G$38+(2.3*4)</f>
        <v>24.21</v>
      </c>
      <c r="H54" s="67">
        <f t="shared" si="5"/>
        <v>1.5736500000000002</v>
      </c>
      <c r="I54" s="67">
        <f t="shared" si="6"/>
        <v>1.9368000000000001</v>
      </c>
      <c r="J54" s="68">
        <f t="shared" si="1"/>
        <v>5.8212945000000005</v>
      </c>
      <c r="K54" s="70">
        <f t="shared" si="2"/>
        <v>33.541744500000007</v>
      </c>
      <c r="L54" s="31"/>
      <c r="R54" s="68"/>
      <c r="S54" s="70"/>
    </row>
    <row r="55" spans="1:19" x14ac:dyDescent="0.2">
      <c r="A55" s="7">
        <v>53</v>
      </c>
      <c r="B55" s="7">
        <f t="shared" si="7"/>
        <v>90.63</v>
      </c>
      <c r="C55" s="54">
        <f t="shared" si="8"/>
        <v>55.847489499999995</v>
      </c>
      <c r="D55" s="54" t="e">
        <f t="shared" si="9"/>
        <v>#N/A</v>
      </c>
      <c r="E55" s="64"/>
      <c r="F55" s="66">
        <v>57</v>
      </c>
      <c r="G55" s="67">
        <f t="shared" ref="G55:G58" si="17">$G$38+(2.3*4)</f>
        <v>24.21</v>
      </c>
      <c r="H55" s="67">
        <f t="shared" si="5"/>
        <v>1.5736500000000002</v>
      </c>
      <c r="I55" s="67">
        <f t="shared" si="6"/>
        <v>1.9368000000000001</v>
      </c>
      <c r="J55" s="68">
        <f t="shared" si="1"/>
        <v>5.8212945000000005</v>
      </c>
      <c r="K55" s="70">
        <f t="shared" si="2"/>
        <v>33.541744500000007</v>
      </c>
      <c r="L55" s="31"/>
      <c r="R55" s="68"/>
      <c r="S55" s="70"/>
    </row>
    <row r="56" spans="1:19" x14ac:dyDescent="0.2">
      <c r="A56" s="7">
        <v>54</v>
      </c>
      <c r="B56" s="7">
        <f t="shared" si="7"/>
        <v>92.34</v>
      </c>
      <c r="C56" s="54">
        <f t="shared" si="8"/>
        <v>55.847489499999995</v>
      </c>
      <c r="D56" s="54" t="e">
        <f t="shared" si="9"/>
        <v>#N/A</v>
      </c>
      <c r="E56" s="64"/>
      <c r="F56" s="66">
        <v>58</v>
      </c>
      <c r="G56" s="67">
        <f t="shared" si="17"/>
        <v>24.21</v>
      </c>
      <c r="H56" s="67">
        <f t="shared" si="5"/>
        <v>1.5736500000000002</v>
      </c>
      <c r="I56" s="67">
        <f t="shared" si="6"/>
        <v>1.9368000000000001</v>
      </c>
      <c r="J56" s="68">
        <f t="shared" si="1"/>
        <v>5.8212945000000005</v>
      </c>
      <c r="K56" s="70">
        <f t="shared" si="2"/>
        <v>33.541744500000007</v>
      </c>
      <c r="L56" s="31"/>
      <c r="R56" s="68"/>
      <c r="S56" s="70"/>
    </row>
    <row r="57" spans="1:19" x14ac:dyDescent="0.2">
      <c r="A57" s="7">
        <v>55</v>
      </c>
      <c r="B57" s="7">
        <f t="shared" si="7"/>
        <v>94.05</v>
      </c>
      <c r="C57" s="54">
        <f t="shared" si="8"/>
        <v>55.847489499999995</v>
      </c>
      <c r="D57" s="54" t="e">
        <f t="shared" si="9"/>
        <v>#N/A</v>
      </c>
      <c r="E57" s="64"/>
      <c r="F57" s="66">
        <v>59</v>
      </c>
      <c r="G57" s="67">
        <f t="shared" si="17"/>
        <v>24.21</v>
      </c>
      <c r="H57" s="67">
        <f t="shared" si="5"/>
        <v>1.5736500000000002</v>
      </c>
      <c r="I57" s="67">
        <f t="shared" si="6"/>
        <v>1.9368000000000001</v>
      </c>
      <c r="J57" s="68">
        <f t="shared" si="1"/>
        <v>5.8212945000000005</v>
      </c>
      <c r="K57" s="70">
        <f t="shared" si="2"/>
        <v>33.541744500000007</v>
      </c>
      <c r="L57" s="31"/>
      <c r="R57" s="68"/>
      <c r="S57" s="70"/>
    </row>
    <row r="58" spans="1:19" x14ac:dyDescent="0.2">
      <c r="A58" s="7">
        <v>56</v>
      </c>
      <c r="B58" s="7">
        <f t="shared" si="7"/>
        <v>95.759999999999991</v>
      </c>
      <c r="C58" s="54">
        <f t="shared" si="8"/>
        <v>59.034024499999994</v>
      </c>
      <c r="D58" s="54" t="e">
        <f t="shared" si="9"/>
        <v>#N/A</v>
      </c>
      <c r="E58" s="64"/>
      <c r="F58" s="66">
        <v>60</v>
      </c>
      <c r="G58" s="67">
        <f t="shared" si="17"/>
        <v>24.21</v>
      </c>
      <c r="H58" s="67">
        <f t="shared" si="5"/>
        <v>1.5736500000000002</v>
      </c>
      <c r="I58" s="67">
        <f t="shared" si="6"/>
        <v>1.9368000000000001</v>
      </c>
      <c r="J58" s="68">
        <f t="shared" si="1"/>
        <v>5.8212945000000005</v>
      </c>
      <c r="K58" s="70">
        <f t="shared" si="2"/>
        <v>33.541744500000007</v>
      </c>
      <c r="L58" s="31"/>
      <c r="R58" s="68"/>
      <c r="S58" s="70"/>
    </row>
    <row r="59" spans="1:19" x14ac:dyDescent="0.2">
      <c r="A59" s="7">
        <v>57</v>
      </c>
      <c r="B59" s="7">
        <f t="shared" si="7"/>
        <v>97.47</v>
      </c>
      <c r="C59" s="54">
        <f t="shared" si="8"/>
        <v>59.034024499999994</v>
      </c>
      <c r="D59" s="54" t="e">
        <f t="shared" si="9"/>
        <v>#N/A</v>
      </c>
      <c r="E59" s="64"/>
      <c r="F59" s="66">
        <v>61</v>
      </c>
      <c r="G59" s="67">
        <f>$G$38+(2.3*5)</f>
        <v>26.509999999999998</v>
      </c>
      <c r="H59" s="67">
        <f t="shared" si="5"/>
        <v>1.72315</v>
      </c>
      <c r="I59" s="67">
        <f t="shared" si="6"/>
        <v>2.1208</v>
      </c>
      <c r="J59" s="68">
        <f t="shared" si="1"/>
        <v>6.3743294999999991</v>
      </c>
      <c r="K59" s="70">
        <f t="shared" si="2"/>
        <v>36.728279499999999</v>
      </c>
      <c r="L59" s="31"/>
      <c r="R59" s="68"/>
      <c r="S59" s="70"/>
    </row>
    <row r="60" spans="1:19" x14ac:dyDescent="0.2">
      <c r="A60" s="7">
        <v>58</v>
      </c>
      <c r="B60" s="7">
        <f t="shared" si="7"/>
        <v>99.179999999999993</v>
      </c>
      <c r="C60" s="54">
        <f t="shared" si="8"/>
        <v>59.034024499999994</v>
      </c>
      <c r="D60" s="54" t="e">
        <f t="shared" si="9"/>
        <v>#N/A</v>
      </c>
      <c r="E60" s="64"/>
      <c r="F60" s="66">
        <v>62</v>
      </c>
      <c r="G60" s="67">
        <f t="shared" ref="G60:G63" si="18">$G$38+(2.3*5)</f>
        <v>26.509999999999998</v>
      </c>
      <c r="H60" s="67">
        <f t="shared" si="5"/>
        <v>1.72315</v>
      </c>
      <c r="I60" s="67">
        <f t="shared" si="6"/>
        <v>2.1208</v>
      </c>
      <c r="J60" s="68">
        <f t="shared" si="1"/>
        <v>6.3743294999999991</v>
      </c>
      <c r="K60" s="70">
        <f t="shared" si="2"/>
        <v>36.728279499999999</v>
      </c>
      <c r="L60" s="31"/>
      <c r="R60" s="68"/>
      <c r="S60" s="70"/>
    </row>
    <row r="61" spans="1:19" x14ac:dyDescent="0.2">
      <c r="A61" s="7">
        <v>59</v>
      </c>
      <c r="B61" s="7">
        <f t="shared" si="7"/>
        <v>100.89</v>
      </c>
      <c r="C61" s="54">
        <f t="shared" si="8"/>
        <v>62.220559499999993</v>
      </c>
      <c r="D61" s="54" t="e">
        <f t="shared" si="9"/>
        <v>#N/A</v>
      </c>
      <c r="E61" s="64"/>
      <c r="F61" s="66">
        <v>63</v>
      </c>
      <c r="G61" s="67">
        <f t="shared" si="18"/>
        <v>26.509999999999998</v>
      </c>
      <c r="H61" s="67">
        <f t="shared" si="5"/>
        <v>1.72315</v>
      </c>
      <c r="I61" s="67">
        <f t="shared" si="6"/>
        <v>2.1208</v>
      </c>
      <c r="J61" s="68">
        <f t="shared" si="1"/>
        <v>6.3743294999999991</v>
      </c>
      <c r="K61" s="70">
        <f t="shared" si="2"/>
        <v>36.728279499999999</v>
      </c>
      <c r="L61" s="31"/>
      <c r="R61" s="68"/>
      <c r="S61" s="70"/>
    </row>
    <row r="62" spans="1:19" x14ac:dyDescent="0.2">
      <c r="A62" s="7">
        <v>60</v>
      </c>
      <c r="B62" s="7">
        <f t="shared" si="7"/>
        <v>102.6</v>
      </c>
      <c r="C62" s="54">
        <f t="shared" si="8"/>
        <v>62.220559499999993</v>
      </c>
      <c r="D62" s="54" t="e">
        <f t="shared" si="9"/>
        <v>#N/A</v>
      </c>
      <c r="E62" s="64"/>
      <c r="F62" s="66">
        <v>64</v>
      </c>
      <c r="G62" s="67">
        <f t="shared" si="18"/>
        <v>26.509999999999998</v>
      </c>
      <c r="H62" s="67">
        <f t="shared" si="5"/>
        <v>1.72315</v>
      </c>
      <c r="I62" s="67">
        <f t="shared" si="6"/>
        <v>2.1208</v>
      </c>
      <c r="J62" s="68">
        <f t="shared" si="1"/>
        <v>6.3743294999999991</v>
      </c>
      <c r="K62" s="70">
        <f t="shared" si="2"/>
        <v>36.728279499999999</v>
      </c>
      <c r="L62" s="31"/>
      <c r="R62" s="68"/>
      <c r="S62" s="70"/>
    </row>
    <row r="63" spans="1:19" x14ac:dyDescent="0.2">
      <c r="A63" s="7">
        <v>61</v>
      </c>
      <c r="B63" s="7">
        <f t="shared" si="7"/>
        <v>104.31</v>
      </c>
      <c r="C63" s="54">
        <f t="shared" si="8"/>
        <v>62.220559499999993</v>
      </c>
      <c r="D63" s="54" t="e">
        <f t="shared" si="9"/>
        <v>#N/A</v>
      </c>
      <c r="E63" s="64"/>
      <c r="F63" s="66">
        <v>65</v>
      </c>
      <c r="G63" s="67">
        <f t="shared" si="18"/>
        <v>26.509999999999998</v>
      </c>
      <c r="H63" s="67">
        <f t="shared" si="5"/>
        <v>1.72315</v>
      </c>
      <c r="I63" s="67">
        <f t="shared" si="6"/>
        <v>2.1208</v>
      </c>
      <c r="J63" s="68">
        <f t="shared" si="1"/>
        <v>6.3743294999999991</v>
      </c>
      <c r="K63" s="70">
        <f t="shared" si="2"/>
        <v>36.728279499999999</v>
      </c>
      <c r="L63" s="31"/>
      <c r="R63" s="68"/>
      <c r="S63" s="70"/>
    </row>
    <row r="64" spans="1:19" x14ac:dyDescent="0.2">
      <c r="A64" s="7">
        <v>62</v>
      </c>
      <c r="B64" s="7">
        <f t="shared" si="7"/>
        <v>106.02</v>
      </c>
      <c r="C64" s="54">
        <f t="shared" si="8"/>
        <v>65.407094499999999</v>
      </c>
      <c r="D64" s="54" t="e">
        <f t="shared" si="9"/>
        <v>#N/A</v>
      </c>
      <c r="E64" s="64"/>
      <c r="F64" s="66">
        <v>66</v>
      </c>
      <c r="G64" s="67">
        <f>$G$38+(2.3*6)</f>
        <v>28.81</v>
      </c>
      <c r="H64" s="67">
        <f t="shared" si="5"/>
        <v>1.8726499999999999</v>
      </c>
      <c r="I64" s="67">
        <f t="shared" si="6"/>
        <v>2.3047999999999997</v>
      </c>
      <c r="J64" s="68">
        <f t="shared" si="1"/>
        <v>6.9273644999999986</v>
      </c>
      <c r="K64" s="70">
        <f t="shared" si="2"/>
        <v>39.914814499999991</v>
      </c>
      <c r="L64" s="31"/>
      <c r="R64" s="68"/>
      <c r="S64" s="70"/>
    </row>
    <row r="65" spans="1:19" x14ac:dyDescent="0.2">
      <c r="A65" s="7">
        <v>63</v>
      </c>
      <c r="B65" s="7">
        <f t="shared" si="7"/>
        <v>107.73</v>
      </c>
      <c r="C65" s="54">
        <f t="shared" si="8"/>
        <v>65.407094499999999</v>
      </c>
      <c r="D65" s="54" t="e">
        <f t="shared" si="9"/>
        <v>#N/A</v>
      </c>
      <c r="E65" s="64"/>
      <c r="F65" s="66">
        <v>67</v>
      </c>
      <c r="G65" s="67">
        <f t="shared" ref="G65:G68" si="19">$G$38+(2.3*6)</f>
        <v>28.81</v>
      </c>
      <c r="H65" s="67">
        <f t="shared" si="5"/>
        <v>1.8726499999999999</v>
      </c>
      <c r="I65" s="67">
        <f t="shared" si="6"/>
        <v>2.3047999999999997</v>
      </c>
      <c r="J65" s="68">
        <f t="shared" si="1"/>
        <v>6.9273644999999986</v>
      </c>
      <c r="K65" s="70">
        <f t="shared" si="2"/>
        <v>39.914814499999991</v>
      </c>
      <c r="L65" s="31"/>
      <c r="R65" s="68"/>
      <c r="S65" s="70"/>
    </row>
    <row r="66" spans="1:19" x14ac:dyDescent="0.2">
      <c r="A66" s="7">
        <v>64</v>
      </c>
      <c r="B66" s="7">
        <f t="shared" si="7"/>
        <v>109.44</v>
      </c>
      <c r="C66" s="54">
        <f t="shared" si="8"/>
        <v>65.407094499999999</v>
      </c>
      <c r="D66" s="54" t="e">
        <f t="shared" si="9"/>
        <v>#N/A</v>
      </c>
      <c r="E66" s="64"/>
      <c r="F66" s="66">
        <v>68</v>
      </c>
      <c r="G66" s="67">
        <f t="shared" si="19"/>
        <v>28.81</v>
      </c>
      <c r="H66" s="67">
        <f t="shared" si="5"/>
        <v>1.8726499999999999</v>
      </c>
      <c r="I66" s="67">
        <f t="shared" si="6"/>
        <v>2.3047999999999997</v>
      </c>
      <c r="J66" s="68">
        <f t="shared" si="1"/>
        <v>6.9273644999999986</v>
      </c>
      <c r="K66" s="70">
        <f t="shared" si="2"/>
        <v>39.914814499999991</v>
      </c>
      <c r="L66" s="31"/>
      <c r="R66" s="68"/>
      <c r="S66" s="70"/>
    </row>
    <row r="67" spans="1:19" x14ac:dyDescent="0.2">
      <c r="A67" s="7">
        <v>65</v>
      </c>
      <c r="B67" s="7">
        <f t="shared" si="7"/>
        <v>111.14999999999999</v>
      </c>
      <c r="C67" s="54">
        <f t="shared" si="8"/>
        <v>68.593629499999992</v>
      </c>
      <c r="D67" s="54" t="e">
        <f t="shared" si="9"/>
        <v>#N/A</v>
      </c>
      <c r="E67" s="64"/>
      <c r="F67" s="66">
        <v>69</v>
      </c>
      <c r="G67" s="67">
        <f t="shared" si="19"/>
        <v>28.81</v>
      </c>
      <c r="H67" s="67">
        <f t="shared" si="5"/>
        <v>1.8726499999999999</v>
      </c>
      <c r="I67" s="67">
        <f t="shared" si="6"/>
        <v>2.3047999999999997</v>
      </c>
      <c r="J67" s="68">
        <f t="shared" si="1"/>
        <v>6.9273644999999986</v>
      </c>
      <c r="K67" s="70">
        <f t="shared" si="2"/>
        <v>39.914814499999991</v>
      </c>
      <c r="L67" s="31"/>
      <c r="R67" s="68"/>
      <c r="S67" s="70"/>
    </row>
    <row r="68" spans="1:19" x14ac:dyDescent="0.2">
      <c r="A68" s="7">
        <v>66</v>
      </c>
      <c r="B68" s="7">
        <f t="shared" si="7"/>
        <v>112.86</v>
      </c>
      <c r="C68" s="54">
        <f t="shared" si="8"/>
        <v>68.593629499999992</v>
      </c>
      <c r="D68" s="54" t="e">
        <f t="shared" si="9"/>
        <v>#N/A</v>
      </c>
      <c r="E68" s="64"/>
      <c r="F68" s="66">
        <v>70</v>
      </c>
      <c r="G68" s="67">
        <f t="shared" si="19"/>
        <v>28.81</v>
      </c>
      <c r="H68" s="67">
        <f t="shared" si="5"/>
        <v>1.8726499999999999</v>
      </c>
      <c r="I68" s="67">
        <f t="shared" si="6"/>
        <v>2.3047999999999997</v>
      </c>
      <c r="J68" s="68">
        <f t="shared" ref="J68:J131" si="20">(G68+H68+I68)*21%</f>
        <v>6.9273644999999986</v>
      </c>
      <c r="K68" s="70">
        <f t="shared" ref="K68:K131" si="21">SUM(G68:J68)</f>
        <v>39.914814499999991</v>
      </c>
      <c r="L68" s="31"/>
      <c r="R68" s="68"/>
      <c r="S68" s="70"/>
    </row>
    <row r="69" spans="1:19" x14ac:dyDescent="0.2">
      <c r="A69" s="7">
        <v>67</v>
      </c>
      <c r="B69" s="7">
        <f t="shared" si="7"/>
        <v>114.57</v>
      </c>
      <c r="C69" s="54">
        <f t="shared" si="8"/>
        <v>68.593629499999992</v>
      </c>
      <c r="D69" s="54" t="e">
        <f t="shared" si="9"/>
        <v>#N/A</v>
      </c>
      <c r="E69" s="64"/>
      <c r="F69" s="66">
        <v>71</v>
      </c>
      <c r="G69" s="67">
        <f>$G$38+(2.3*7)</f>
        <v>31.11</v>
      </c>
      <c r="H69" s="67">
        <f t="shared" ref="H69:H132" si="22">G69*$AA$10</f>
        <v>2.0221499999999999</v>
      </c>
      <c r="I69" s="67">
        <f t="shared" ref="I69:I132" si="23">G69*$AA$11</f>
        <v>2.4887999999999999</v>
      </c>
      <c r="J69" s="68">
        <f t="shared" si="20"/>
        <v>7.4803994999999981</v>
      </c>
      <c r="K69" s="70">
        <f t="shared" si="21"/>
        <v>43.101349499999991</v>
      </c>
      <c r="L69" s="31"/>
      <c r="R69" s="68"/>
      <c r="S69" s="70"/>
    </row>
    <row r="70" spans="1:19" x14ac:dyDescent="0.2">
      <c r="A70" s="7">
        <v>68</v>
      </c>
      <c r="B70" s="7">
        <f t="shared" ref="B70:B133" si="24">(0.855*2)*A70</f>
        <v>116.28</v>
      </c>
      <c r="C70" s="54">
        <f t="shared" ref="C70:C133" si="25">VLOOKUP((ROUNDUP(B70,0)),F:K,6,0)</f>
        <v>71.780164499999984</v>
      </c>
      <c r="D70" s="54" t="e">
        <f t="shared" ref="D70:D133" si="26">VLOOKUP((ROUNDUP(B70,0)),N:S,6,0)</f>
        <v>#N/A</v>
      </c>
      <c r="E70" s="64"/>
      <c r="F70" s="66">
        <v>72</v>
      </c>
      <c r="G70" s="67">
        <f t="shared" ref="G70:G73" si="27">$G$38+(2.3*7)</f>
        <v>31.11</v>
      </c>
      <c r="H70" s="67">
        <f t="shared" si="22"/>
        <v>2.0221499999999999</v>
      </c>
      <c r="I70" s="67">
        <f t="shared" si="23"/>
        <v>2.4887999999999999</v>
      </c>
      <c r="J70" s="68">
        <f t="shared" si="20"/>
        <v>7.4803994999999981</v>
      </c>
      <c r="K70" s="70">
        <f t="shared" si="21"/>
        <v>43.101349499999991</v>
      </c>
      <c r="L70" s="31"/>
      <c r="R70" s="68"/>
      <c r="S70" s="70"/>
    </row>
    <row r="71" spans="1:19" x14ac:dyDescent="0.2">
      <c r="A71" s="7">
        <v>69</v>
      </c>
      <c r="B71" s="7">
        <f t="shared" si="24"/>
        <v>117.99</v>
      </c>
      <c r="C71" s="54">
        <f t="shared" si="25"/>
        <v>71.780164499999984</v>
      </c>
      <c r="D71" s="54" t="e">
        <f t="shared" si="26"/>
        <v>#N/A</v>
      </c>
      <c r="E71" s="64"/>
      <c r="F71" s="66">
        <v>73</v>
      </c>
      <c r="G71" s="67">
        <f t="shared" si="27"/>
        <v>31.11</v>
      </c>
      <c r="H71" s="67">
        <f t="shared" si="22"/>
        <v>2.0221499999999999</v>
      </c>
      <c r="I71" s="67">
        <f t="shared" si="23"/>
        <v>2.4887999999999999</v>
      </c>
      <c r="J71" s="68">
        <f t="shared" si="20"/>
        <v>7.4803994999999981</v>
      </c>
      <c r="K71" s="70">
        <f t="shared" si="21"/>
        <v>43.101349499999991</v>
      </c>
      <c r="L71" s="31"/>
      <c r="R71" s="68"/>
      <c r="S71" s="70"/>
    </row>
    <row r="72" spans="1:19" x14ac:dyDescent="0.2">
      <c r="A72" s="7">
        <v>70</v>
      </c>
      <c r="B72" s="7">
        <f t="shared" si="24"/>
        <v>119.7</v>
      </c>
      <c r="C72" s="54">
        <f t="shared" si="25"/>
        <v>71.780164499999984</v>
      </c>
      <c r="D72" s="54" t="e">
        <f t="shared" si="26"/>
        <v>#N/A</v>
      </c>
      <c r="E72" s="64"/>
      <c r="F72" s="66">
        <v>74</v>
      </c>
      <c r="G72" s="67">
        <f t="shared" si="27"/>
        <v>31.11</v>
      </c>
      <c r="H72" s="67">
        <f t="shared" si="22"/>
        <v>2.0221499999999999</v>
      </c>
      <c r="I72" s="67">
        <f t="shared" si="23"/>
        <v>2.4887999999999999</v>
      </c>
      <c r="J72" s="68">
        <f t="shared" si="20"/>
        <v>7.4803994999999981</v>
      </c>
      <c r="K72" s="70">
        <f t="shared" si="21"/>
        <v>43.101349499999991</v>
      </c>
      <c r="L72" s="31"/>
      <c r="R72" s="68"/>
      <c r="S72" s="70"/>
    </row>
    <row r="73" spans="1:19" x14ac:dyDescent="0.2">
      <c r="A73" s="7">
        <v>71</v>
      </c>
      <c r="B73" s="7">
        <f t="shared" si="24"/>
        <v>121.41</v>
      </c>
      <c r="C73" s="54">
        <f t="shared" si="25"/>
        <v>74.96669949999999</v>
      </c>
      <c r="D73" s="54" t="e">
        <f t="shared" si="26"/>
        <v>#N/A</v>
      </c>
      <c r="E73" s="64"/>
      <c r="F73" s="66">
        <v>75</v>
      </c>
      <c r="G73" s="67">
        <f t="shared" si="27"/>
        <v>31.11</v>
      </c>
      <c r="H73" s="67">
        <f t="shared" si="22"/>
        <v>2.0221499999999999</v>
      </c>
      <c r="I73" s="67">
        <f t="shared" si="23"/>
        <v>2.4887999999999999</v>
      </c>
      <c r="J73" s="68">
        <f t="shared" si="20"/>
        <v>7.4803994999999981</v>
      </c>
      <c r="K73" s="70">
        <f t="shared" si="21"/>
        <v>43.101349499999991</v>
      </c>
      <c r="L73" s="31"/>
      <c r="R73" s="68"/>
      <c r="S73" s="70"/>
    </row>
    <row r="74" spans="1:19" x14ac:dyDescent="0.2">
      <c r="A74" s="7">
        <v>72</v>
      </c>
      <c r="B74" s="7">
        <f t="shared" si="24"/>
        <v>123.12</v>
      </c>
      <c r="C74" s="54">
        <f t="shared" si="25"/>
        <v>74.96669949999999</v>
      </c>
      <c r="D74" s="54" t="e">
        <f t="shared" si="26"/>
        <v>#N/A</v>
      </c>
      <c r="E74" s="64"/>
      <c r="F74" s="66">
        <v>76</v>
      </c>
      <c r="G74" s="67">
        <f>$G$38+(2.3*8)</f>
        <v>33.409999999999997</v>
      </c>
      <c r="H74" s="67">
        <f t="shared" si="22"/>
        <v>2.1716499999999996</v>
      </c>
      <c r="I74" s="67">
        <f t="shared" si="23"/>
        <v>2.6727999999999996</v>
      </c>
      <c r="J74" s="68">
        <f t="shared" si="20"/>
        <v>8.0334345000000003</v>
      </c>
      <c r="K74" s="70">
        <f t="shared" si="21"/>
        <v>46.287884499999997</v>
      </c>
      <c r="L74" s="31"/>
      <c r="R74" s="68"/>
      <c r="S74" s="70"/>
    </row>
    <row r="75" spans="1:19" x14ac:dyDescent="0.2">
      <c r="A75" s="7">
        <v>73</v>
      </c>
      <c r="B75" s="7">
        <f t="shared" si="24"/>
        <v>124.83</v>
      </c>
      <c r="C75" s="54">
        <f t="shared" si="25"/>
        <v>74.96669949999999</v>
      </c>
      <c r="D75" s="54" t="e">
        <f t="shared" si="26"/>
        <v>#N/A</v>
      </c>
      <c r="E75" s="64"/>
      <c r="F75" s="66">
        <v>77</v>
      </c>
      <c r="G75" s="67">
        <f t="shared" ref="G75:G78" si="28">$G$38+(2.3*8)</f>
        <v>33.409999999999997</v>
      </c>
      <c r="H75" s="67">
        <f t="shared" si="22"/>
        <v>2.1716499999999996</v>
      </c>
      <c r="I75" s="67">
        <f t="shared" si="23"/>
        <v>2.6727999999999996</v>
      </c>
      <c r="J75" s="68">
        <f t="shared" si="20"/>
        <v>8.0334345000000003</v>
      </c>
      <c r="K75" s="70">
        <f t="shared" si="21"/>
        <v>46.287884499999997</v>
      </c>
      <c r="L75" s="31"/>
      <c r="R75" s="68"/>
      <c r="S75" s="70"/>
    </row>
    <row r="76" spans="1:19" x14ac:dyDescent="0.2">
      <c r="A76" s="7">
        <v>74</v>
      </c>
      <c r="B76" s="7">
        <f t="shared" si="24"/>
        <v>126.53999999999999</v>
      </c>
      <c r="C76" s="54">
        <f t="shared" si="25"/>
        <v>74.96669949999999</v>
      </c>
      <c r="D76" s="54" t="e">
        <f t="shared" si="26"/>
        <v>#N/A</v>
      </c>
      <c r="E76" s="64"/>
      <c r="F76" s="66">
        <v>78</v>
      </c>
      <c r="G76" s="67">
        <f t="shared" si="28"/>
        <v>33.409999999999997</v>
      </c>
      <c r="H76" s="67">
        <f t="shared" si="22"/>
        <v>2.1716499999999996</v>
      </c>
      <c r="I76" s="67">
        <f t="shared" si="23"/>
        <v>2.6727999999999996</v>
      </c>
      <c r="J76" s="68">
        <f t="shared" si="20"/>
        <v>8.0334345000000003</v>
      </c>
      <c r="K76" s="70">
        <f t="shared" si="21"/>
        <v>46.287884499999997</v>
      </c>
      <c r="L76" s="31"/>
      <c r="R76" s="68"/>
      <c r="S76" s="70"/>
    </row>
    <row r="77" spans="1:19" x14ac:dyDescent="0.2">
      <c r="A77" s="7">
        <v>75</v>
      </c>
      <c r="B77" s="7">
        <f t="shared" si="24"/>
        <v>128.25</v>
      </c>
      <c r="C77" s="54">
        <f t="shared" si="25"/>
        <v>0</v>
      </c>
      <c r="D77" s="54" t="e">
        <f t="shared" si="26"/>
        <v>#N/A</v>
      </c>
      <c r="E77" s="64"/>
      <c r="F77" s="66">
        <v>79</v>
      </c>
      <c r="G77" s="67">
        <f t="shared" si="28"/>
        <v>33.409999999999997</v>
      </c>
      <c r="H77" s="67">
        <f t="shared" si="22"/>
        <v>2.1716499999999996</v>
      </c>
      <c r="I77" s="67">
        <f t="shared" si="23"/>
        <v>2.6727999999999996</v>
      </c>
      <c r="J77" s="68">
        <f t="shared" si="20"/>
        <v>8.0334345000000003</v>
      </c>
      <c r="K77" s="70">
        <f t="shared" si="21"/>
        <v>46.287884499999997</v>
      </c>
      <c r="L77" s="31"/>
      <c r="R77" s="68"/>
      <c r="S77" s="70"/>
    </row>
    <row r="78" spans="1:19" x14ac:dyDescent="0.2">
      <c r="A78" s="7">
        <v>76</v>
      </c>
      <c r="B78" s="7">
        <f t="shared" si="24"/>
        <v>129.96</v>
      </c>
      <c r="C78" s="54">
        <f t="shared" si="25"/>
        <v>0</v>
      </c>
      <c r="D78" s="54" t="e">
        <f t="shared" si="26"/>
        <v>#N/A</v>
      </c>
      <c r="E78" s="64"/>
      <c r="F78" s="66">
        <v>80</v>
      </c>
      <c r="G78" s="67">
        <f t="shared" si="28"/>
        <v>33.409999999999997</v>
      </c>
      <c r="H78" s="67">
        <f t="shared" si="22"/>
        <v>2.1716499999999996</v>
      </c>
      <c r="I78" s="67">
        <f t="shared" si="23"/>
        <v>2.6727999999999996</v>
      </c>
      <c r="J78" s="68">
        <f t="shared" si="20"/>
        <v>8.0334345000000003</v>
      </c>
      <c r="K78" s="70">
        <f t="shared" si="21"/>
        <v>46.287884499999997</v>
      </c>
      <c r="L78" s="31"/>
      <c r="R78" s="68"/>
      <c r="S78" s="70"/>
    </row>
    <row r="79" spans="1:19" x14ac:dyDescent="0.2">
      <c r="A79" s="7">
        <v>77</v>
      </c>
      <c r="B79" s="7">
        <f t="shared" si="24"/>
        <v>131.66999999999999</v>
      </c>
      <c r="C79" s="54">
        <f t="shared" si="25"/>
        <v>0</v>
      </c>
      <c r="D79" s="54" t="e">
        <f t="shared" si="26"/>
        <v>#N/A</v>
      </c>
      <c r="E79" s="64"/>
      <c r="F79" s="66">
        <v>81</v>
      </c>
      <c r="G79" s="67">
        <f>$G$38+(2.3*9)</f>
        <v>35.71</v>
      </c>
      <c r="H79" s="67">
        <f t="shared" si="22"/>
        <v>2.3211500000000003</v>
      </c>
      <c r="I79" s="67">
        <f t="shared" si="23"/>
        <v>2.8568000000000002</v>
      </c>
      <c r="J79" s="68">
        <f t="shared" si="20"/>
        <v>8.5864694999999998</v>
      </c>
      <c r="K79" s="70">
        <f t="shared" si="21"/>
        <v>49.474419500000003</v>
      </c>
      <c r="L79" s="31"/>
      <c r="R79" s="68"/>
      <c r="S79" s="70"/>
    </row>
    <row r="80" spans="1:19" x14ac:dyDescent="0.2">
      <c r="A80" s="7">
        <v>78</v>
      </c>
      <c r="B80" s="7">
        <f t="shared" si="24"/>
        <v>133.38</v>
      </c>
      <c r="C80" s="54">
        <f t="shared" si="25"/>
        <v>0</v>
      </c>
      <c r="D80" s="54" t="e">
        <f t="shared" si="26"/>
        <v>#N/A</v>
      </c>
      <c r="E80" s="64"/>
      <c r="F80" s="66">
        <v>82</v>
      </c>
      <c r="G80" s="67">
        <f t="shared" ref="G80:G83" si="29">$G$38+(2.3*9)</f>
        <v>35.71</v>
      </c>
      <c r="H80" s="67">
        <f t="shared" si="22"/>
        <v>2.3211500000000003</v>
      </c>
      <c r="I80" s="67">
        <f t="shared" si="23"/>
        <v>2.8568000000000002</v>
      </c>
      <c r="J80" s="68">
        <f t="shared" si="20"/>
        <v>8.5864694999999998</v>
      </c>
      <c r="K80" s="70">
        <f t="shared" si="21"/>
        <v>49.474419500000003</v>
      </c>
      <c r="L80" s="31"/>
      <c r="R80" s="68"/>
      <c r="S80" s="70"/>
    </row>
    <row r="81" spans="1:19" x14ac:dyDescent="0.2">
      <c r="A81" s="7">
        <v>79</v>
      </c>
      <c r="B81" s="7">
        <f t="shared" si="24"/>
        <v>135.09</v>
      </c>
      <c r="C81" s="54">
        <f t="shared" si="25"/>
        <v>0</v>
      </c>
      <c r="D81" s="54" t="e">
        <f t="shared" si="26"/>
        <v>#N/A</v>
      </c>
      <c r="E81" s="64"/>
      <c r="F81" s="66">
        <v>83</v>
      </c>
      <c r="G81" s="67">
        <f t="shared" si="29"/>
        <v>35.71</v>
      </c>
      <c r="H81" s="67">
        <f t="shared" si="22"/>
        <v>2.3211500000000003</v>
      </c>
      <c r="I81" s="67">
        <f t="shared" si="23"/>
        <v>2.8568000000000002</v>
      </c>
      <c r="J81" s="68">
        <f t="shared" si="20"/>
        <v>8.5864694999999998</v>
      </c>
      <c r="K81" s="70">
        <f t="shared" si="21"/>
        <v>49.474419500000003</v>
      </c>
      <c r="L81" s="31"/>
      <c r="R81" s="68"/>
      <c r="S81" s="70"/>
    </row>
    <row r="82" spans="1:19" x14ac:dyDescent="0.2">
      <c r="A82" s="7">
        <v>80</v>
      </c>
      <c r="B82" s="7">
        <f t="shared" si="24"/>
        <v>136.80000000000001</v>
      </c>
      <c r="C82" s="54">
        <f t="shared" si="25"/>
        <v>0</v>
      </c>
      <c r="D82" s="54" t="e">
        <f t="shared" si="26"/>
        <v>#N/A</v>
      </c>
      <c r="E82" s="64"/>
      <c r="F82" s="66">
        <v>84</v>
      </c>
      <c r="G82" s="67">
        <f t="shared" si="29"/>
        <v>35.71</v>
      </c>
      <c r="H82" s="67">
        <f t="shared" si="22"/>
        <v>2.3211500000000003</v>
      </c>
      <c r="I82" s="67">
        <f t="shared" si="23"/>
        <v>2.8568000000000002</v>
      </c>
      <c r="J82" s="68">
        <f t="shared" si="20"/>
        <v>8.5864694999999998</v>
      </c>
      <c r="K82" s="70">
        <f t="shared" si="21"/>
        <v>49.474419500000003</v>
      </c>
      <c r="L82" s="31"/>
      <c r="R82" s="68"/>
      <c r="S82" s="70"/>
    </row>
    <row r="83" spans="1:19" x14ac:dyDescent="0.2">
      <c r="A83" s="7">
        <v>81</v>
      </c>
      <c r="B83" s="7">
        <f t="shared" si="24"/>
        <v>138.51</v>
      </c>
      <c r="C83" s="54">
        <f t="shared" si="25"/>
        <v>0</v>
      </c>
      <c r="D83" s="54" t="e">
        <f t="shared" si="26"/>
        <v>#N/A</v>
      </c>
      <c r="E83" s="64"/>
      <c r="F83" s="66">
        <v>85</v>
      </c>
      <c r="G83" s="67">
        <f t="shared" si="29"/>
        <v>35.71</v>
      </c>
      <c r="H83" s="67">
        <f t="shared" si="22"/>
        <v>2.3211500000000003</v>
      </c>
      <c r="I83" s="67">
        <f t="shared" si="23"/>
        <v>2.8568000000000002</v>
      </c>
      <c r="J83" s="68">
        <f t="shared" si="20"/>
        <v>8.5864694999999998</v>
      </c>
      <c r="K83" s="70">
        <f t="shared" si="21"/>
        <v>49.474419500000003</v>
      </c>
      <c r="L83" s="31"/>
      <c r="R83" s="68"/>
      <c r="S83" s="70"/>
    </row>
    <row r="84" spans="1:19" x14ac:dyDescent="0.2">
      <c r="A84" s="7">
        <v>82</v>
      </c>
      <c r="B84" s="7">
        <f t="shared" si="24"/>
        <v>140.22</v>
      </c>
      <c r="C84" s="54">
        <f t="shared" si="25"/>
        <v>0</v>
      </c>
      <c r="D84" s="54" t="e">
        <f t="shared" si="26"/>
        <v>#N/A</v>
      </c>
      <c r="E84" s="64"/>
      <c r="F84" s="66">
        <v>86</v>
      </c>
      <c r="G84" s="67">
        <f>$G$38+(2.3*10)</f>
        <v>38.01</v>
      </c>
      <c r="H84" s="67">
        <f t="shared" si="22"/>
        <v>2.47065</v>
      </c>
      <c r="I84" s="67">
        <f t="shared" si="23"/>
        <v>3.0407999999999999</v>
      </c>
      <c r="J84" s="68">
        <f t="shared" si="20"/>
        <v>9.1395044999999993</v>
      </c>
      <c r="K84" s="70">
        <f t="shared" si="21"/>
        <v>52.660954499999995</v>
      </c>
      <c r="L84" s="31"/>
      <c r="R84" s="68"/>
      <c r="S84" s="70"/>
    </row>
    <row r="85" spans="1:19" x14ac:dyDescent="0.2">
      <c r="A85" s="7">
        <v>83</v>
      </c>
      <c r="B85" s="7">
        <f t="shared" si="24"/>
        <v>141.93</v>
      </c>
      <c r="C85" s="54">
        <f t="shared" si="25"/>
        <v>0</v>
      </c>
      <c r="D85" s="54" t="e">
        <f t="shared" si="26"/>
        <v>#N/A</v>
      </c>
      <c r="E85" s="64"/>
      <c r="F85" s="66">
        <v>87</v>
      </c>
      <c r="G85" s="67">
        <f t="shared" ref="G85:G88" si="30">$G$38+(2.3*10)</f>
        <v>38.01</v>
      </c>
      <c r="H85" s="67">
        <f t="shared" si="22"/>
        <v>2.47065</v>
      </c>
      <c r="I85" s="67">
        <f t="shared" si="23"/>
        <v>3.0407999999999999</v>
      </c>
      <c r="J85" s="68">
        <f t="shared" si="20"/>
        <v>9.1395044999999993</v>
      </c>
      <c r="K85" s="70">
        <f t="shared" si="21"/>
        <v>52.660954499999995</v>
      </c>
      <c r="L85" s="31"/>
      <c r="R85" s="68"/>
      <c r="S85" s="70"/>
    </row>
    <row r="86" spans="1:19" x14ac:dyDescent="0.2">
      <c r="A86" s="7">
        <v>84</v>
      </c>
      <c r="B86" s="7">
        <f t="shared" si="24"/>
        <v>143.63999999999999</v>
      </c>
      <c r="C86" s="54">
        <f t="shared" si="25"/>
        <v>0</v>
      </c>
      <c r="D86" s="54" t="e">
        <f t="shared" si="26"/>
        <v>#N/A</v>
      </c>
      <c r="E86" s="64"/>
      <c r="F86" s="66">
        <v>88</v>
      </c>
      <c r="G86" s="67">
        <f t="shared" si="30"/>
        <v>38.01</v>
      </c>
      <c r="H86" s="67">
        <f t="shared" si="22"/>
        <v>2.47065</v>
      </c>
      <c r="I86" s="67">
        <f t="shared" si="23"/>
        <v>3.0407999999999999</v>
      </c>
      <c r="J86" s="68">
        <f t="shared" si="20"/>
        <v>9.1395044999999993</v>
      </c>
      <c r="K86" s="70">
        <f t="shared" si="21"/>
        <v>52.660954499999995</v>
      </c>
      <c r="L86" s="31"/>
      <c r="R86" s="68"/>
      <c r="S86" s="70"/>
    </row>
    <row r="87" spans="1:19" x14ac:dyDescent="0.2">
      <c r="A87" s="7">
        <v>85</v>
      </c>
      <c r="B87" s="7">
        <f t="shared" si="24"/>
        <v>145.35</v>
      </c>
      <c r="C87" s="54">
        <f t="shared" si="25"/>
        <v>0</v>
      </c>
      <c r="D87" s="54" t="e">
        <f t="shared" si="26"/>
        <v>#N/A</v>
      </c>
      <c r="E87" s="64"/>
      <c r="F87" s="66">
        <v>89</v>
      </c>
      <c r="G87" s="67">
        <f t="shared" si="30"/>
        <v>38.01</v>
      </c>
      <c r="H87" s="67">
        <f t="shared" si="22"/>
        <v>2.47065</v>
      </c>
      <c r="I87" s="67">
        <f t="shared" si="23"/>
        <v>3.0407999999999999</v>
      </c>
      <c r="J87" s="68">
        <f t="shared" si="20"/>
        <v>9.1395044999999993</v>
      </c>
      <c r="K87" s="70">
        <f t="shared" si="21"/>
        <v>52.660954499999995</v>
      </c>
      <c r="L87" s="31"/>
      <c r="R87" s="68"/>
      <c r="S87" s="70"/>
    </row>
    <row r="88" spans="1:19" x14ac:dyDescent="0.2">
      <c r="A88" s="7">
        <v>86</v>
      </c>
      <c r="B88" s="7">
        <f t="shared" si="24"/>
        <v>147.06</v>
      </c>
      <c r="C88" s="54">
        <f t="shared" si="25"/>
        <v>0</v>
      </c>
      <c r="D88" s="54" t="e">
        <f t="shared" si="26"/>
        <v>#N/A</v>
      </c>
      <c r="E88" s="64"/>
      <c r="F88" s="66">
        <v>90</v>
      </c>
      <c r="G88" s="67">
        <f t="shared" si="30"/>
        <v>38.01</v>
      </c>
      <c r="H88" s="67">
        <f t="shared" si="22"/>
        <v>2.47065</v>
      </c>
      <c r="I88" s="67">
        <f t="shared" si="23"/>
        <v>3.0407999999999999</v>
      </c>
      <c r="J88" s="68">
        <f t="shared" si="20"/>
        <v>9.1395044999999993</v>
      </c>
      <c r="K88" s="70">
        <f t="shared" si="21"/>
        <v>52.660954499999995</v>
      </c>
      <c r="L88" s="31"/>
      <c r="R88" s="68"/>
      <c r="S88" s="70"/>
    </row>
    <row r="89" spans="1:19" x14ac:dyDescent="0.2">
      <c r="A89" s="7">
        <v>87</v>
      </c>
      <c r="B89" s="7">
        <f t="shared" si="24"/>
        <v>148.77000000000001</v>
      </c>
      <c r="C89" s="54">
        <f t="shared" si="25"/>
        <v>0</v>
      </c>
      <c r="D89" s="54" t="e">
        <f t="shared" si="26"/>
        <v>#N/A</v>
      </c>
      <c r="E89" s="64"/>
      <c r="F89" s="66">
        <v>91</v>
      </c>
      <c r="G89" s="67">
        <f>$G$38+(2.3*11)</f>
        <v>40.309999999999995</v>
      </c>
      <c r="H89" s="67">
        <f t="shared" si="22"/>
        <v>2.6201499999999998</v>
      </c>
      <c r="I89" s="67">
        <f t="shared" si="23"/>
        <v>3.2247999999999997</v>
      </c>
      <c r="J89" s="68">
        <f t="shared" si="20"/>
        <v>9.6925394999999988</v>
      </c>
      <c r="K89" s="70">
        <f t="shared" si="21"/>
        <v>55.847489499999995</v>
      </c>
      <c r="L89" s="31"/>
      <c r="R89" s="68"/>
      <c r="S89" s="70"/>
    </row>
    <row r="90" spans="1:19" x14ac:dyDescent="0.2">
      <c r="A90" s="7">
        <v>88</v>
      </c>
      <c r="B90" s="7">
        <f t="shared" si="24"/>
        <v>150.47999999999999</v>
      </c>
      <c r="C90" s="54">
        <f t="shared" si="25"/>
        <v>0</v>
      </c>
      <c r="D90" s="54" t="e">
        <f t="shared" si="26"/>
        <v>#N/A</v>
      </c>
      <c r="E90" s="64"/>
      <c r="F90" s="66">
        <v>92</v>
      </c>
      <c r="G90" s="67">
        <f t="shared" ref="G90:G93" si="31">$G$38+(2.3*11)</f>
        <v>40.309999999999995</v>
      </c>
      <c r="H90" s="67">
        <f t="shared" si="22"/>
        <v>2.6201499999999998</v>
      </c>
      <c r="I90" s="67">
        <f t="shared" si="23"/>
        <v>3.2247999999999997</v>
      </c>
      <c r="J90" s="68">
        <f t="shared" si="20"/>
        <v>9.6925394999999988</v>
      </c>
      <c r="K90" s="70">
        <f t="shared" si="21"/>
        <v>55.847489499999995</v>
      </c>
      <c r="L90" s="31"/>
      <c r="R90" s="68"/>
      <c r="S90" s="70"/>
    </row>
    <row r="91" spans="1:19" x14ac:dyDescent="0.2">
      <c r="A91" s="7">
        <v>89</v>
      </c>
      <c r="B91" s="7">
        <f t="shared" si="24"/>
        <v>152.19</v>
      </c>
      <c r="C91" s="54">
        <f t="shared" si="25"/>
        <v>0</v>
      </c>
      <c r="D91" s="54" t="e">
        <f t="shared" si="26"/>
        <v>#N/A</v>
      </c>
      <c r="E91" s="64"/>
      <c r="F91" s="66">
        <v>93</v>
      </c>
      <c r="G91" s="67">
        <f t="shared" si="31"/>
        <v>40.309999999999995</v>
      </c>
      <c r="H91" s="67">
        <f t="shared" si="22"/>
        <v>2.6201499999999998</v>
      </c>
      <c r="I91" s="67">
        <f t="shared" si="23"/>
        <v>3.2247999999999997</v>
      </c>
      <c r="J91" s="68">
        <f t="shared" si="20"/>
        <v>9.6925394999999988</v>
      </c>
      <c r="K91" s="70">
        <f t="shared" si="21"/>
        <v>55.847489499999995</v>
      </c>
      <c r="L91" s="31"/>
      <c r="R91" s="68"/>
      <c r="S91" s="70"/>
    </row>
    <row r="92" spans="1:19" x14ac:dyDescent="0.2">
      <c r="A92" s="7">
        <v>90</v>
      </c>
      <c r="B92" s="7">
        <f t="shared" si="24"/>
        <v>153.9</v>
      </c>
      <c r="C92" s="54">
        <f t="shared" si="25"/>
        <v>0</v>
      </c>
      <c r="D92" s="54" t="e">
        <f t="shared" si="26"/>
        <v>#N/A</v>
      </c>
      <c r="E92" s="64"/>
      <c r="F92" s="66">
        <v>94</v>
      </c>
      <c r="G92" s="67">
        <f t="shared" si="31"/>
        <v>40.309999999999995</v>
      </c>
      <c r="H92" s="67">
        <f t="shared" si="22"/>
        <v>2.6201499999999998</v>
      </c>
      <c r="I92" s="67">
        <f t="shared" si="23"/>
        <v>3.2247999999999997</v>
      </c>
      <c r="J92" s="68">
        <f t="shared" si="20"/>
        <v>9.6925394999999988</v>
      </c>
      <c r="K92" s="70">
        <f t="shared" si="21"/>
        <v>55.847489499999995</v>
      </c>
      <c r="L92" s="31"/>
      <c r="R92" s="68"/>
      <c r="S92" s="70"/>
    </row>
    <row r="93" spans="1:19" x14ac:dyDescent="0.2">
      <c r="A93" s="7">
        <v>91</v>
      </c>
      <c r="B93" s="7">
        <f t="shared" si="24"/>
        <v>155.60999999999999</v>
      </c>
      <c r="C93" s="54" t="e">
        <f t="shared" si="25"/>
        <v>#N/A</v>
      </c>
      <c r="D93" s="54" t="e">
        <f t="shared" si="26"/>
        <v>#N/A</v>
      </c>
      <c r="E93" s="64"/>
      <c r="F93" s="66">
        <v>95</v>
      </c>
      <c r="G93" s="67">
        <f t="shared" si="31"/>
        <v>40.309999999999995</v>
      </c>
      <c r="H93" s="67">
        <f t="shared" si="22"/>
        <v>2.6201499999999998</v>
      </c>
      <c r="I93" s="67">
        <f t="shared" si="23"/>
        <v>3.2247999999999997</v>
      </c>
      <c r="J93" s="68">
        <f t="shared" si="20"/>
        <v>9.6925394999999988</v>
      </c>
      <c r="K93" s="70">
        <f t="shared" si="21"/>
        <v>55.847489499999995</v>
      </c>
      <c r="L93" s="31"/>
      <c r="R93" s="68"/>
      <c r="S93" s="70"/>
    </row>
    <row r="94" spans="1:19" x14ac:dyDescent="0.2">
      <c r="A94" s="7">
        <v>92</v>
      </c>
      <c r="B94" s="7">
        <f t="shared" si="24"/>
        <v>157.32</v>
      </c>
      <c r="C94" s="54" t="e">
        <f t="shared" si="25"/>
        <v>#N/A</v>
      </c>
      <c r="D94" s="54" t="e">
        <f t="shared" si="26"/>
        <v>#N/A</v>
      </c>
      <c r="E94" s="64"/>
      <c r="F94" s="66">
        <v>96</v>
      </c>
      <c r="G94" s="67">
        <f>$G$38+(2.3*12)</f>
        <v>42.61</v>
      </c>
      <c r="H94" s="67">
        <f t="shared" si="22"/>
        <v>2.7696499999999999</v>
      </c>
      <c r="I94" s="67">
        <f t="shared" si="23"/>
        <v>3.4087999999999998</v>
      </c>
      <c r="J94" s="68">
        <f t="shared" si="20"/>
        <v>10.245574499999998</v>
      </c>
      <c r="K94" s="70">
        <f t="shared" si="21"/>
        <v>59.034024499999994</v>
      </c>
      <c r="L94" s="31"/>
      <c r="R94" s="68"/>
      <c r="S94" s="70"/>
    </row>
    <row r="95" spans="1:19" x14ac:dyDescent="0.2">
      <c r="A95" s="7">
        <v>93</v>
      </c>
      <c r="B95" s="7">
        <f t="shared" si="24"/>
        <v>159.03</v>
      </c>
      <c r="C95" s="54" t="e">
        <f t="shared" si="25"/>
        <v>#N/A</v>
      </c>
      <c r="D95" s="54" t="e">
        <f t="shared" si="26"/>
        <v>#N/A</v>
      </c>
      <c r="E95" s="64"/>
      <c r="F95" s="66">
        <v>97</v>
      </c>
      <c r="G95" s="67">
        <f>$G$38+(2.3*12)</f>
        <v>42.61</v>
      </c>
      <c r="H95" s="67">
        <f t="shared" si="22"/>
        <v>2.7696499999999999</v>
      </c>
      <c r="I95" s="67">
        <f t="shared" si="23"/>
        <v>3.4087999999999998</v>
      </c>
      <c r="J95" s="68">
        <f t="shared" si="20"/>
        <v>10.245574499999998</v>
      </c>
      <c r="K95" s="70">
        <f t="shared" si="21"/>
        <v>59.034024499999994</v>
      </c>
      <c r="L95" s="31"/>
      <c r="R95" s="68"/>
      <c r="S95" s="70"/>
    </row>
    <row r="96" spans="1:19" x14ac:dyDescent="0.2">
      <c r="A96" s="7">
        <v>94</v>
      </c>
      <c r="B96" s="7">
        <f t="shared" si="24"/>
        <v>160.74</v>
      </c>
      <c r="C96" s="54" t="e">
        <f t="shared" si="25"/>
        <v>#N/A</v>
      </c>
      <c r="D96" s="54" t="e">
        <f t="shared" si="26"/>
        <v>#N/A</v>
      </c>
      <c r="E96" s="64"/>
      <c r="F96" s="66">
        <v>98</v>
      </c>
      <c r="G96" s="67">
        <f>$G$38+(2.3*12)</f>
        <v>42.61</v>
      </c>
      <c r="H96" s="67">
        <f t="shared" si="22"/>
        <v>2.7696499999999999</v>
      </c>
      <c r="I96" s="67">
        <f t="shared" si="23"/>
        <v>3.4087999999999998</v>
      </c>
      <c r="J96" s="68">
        <f t="shared" si="20"/>
        <v>10.245574499999998</v>
      </c>
      <c r="K96" s="70">
        <f t="shared" si="21"/>
        <v>59.034024499999994</v>
      </c>
      <c r="L96" s="31"/>
      <c r="R96" s="68"/>
      <c r="S96" s="70"/>
    </row>
    <row r="97" spans="1:19" x14ac:dyDescent="0.2">
      <c r="A97" s="7">
        <v>95</v>
      </c>
      <c r="B97" s="7">
        <f t="shared" si="24"/>
        <v>162.44999999999999</v>
      </c>
      <c r="C97" s="54" t="e">
        <f t="shared" si="25"/>
        <v>#N/A</v>
      </c>
      <c r="D97" s="54" t="e">
        <f t="shared" si="26"/>
        <v>#N/A</v>
      </c>
      <c r="E97" s="64"/>
      <c r="F97" s="66">
        <v>99</v>
      </c>
      <c r="G97" s="67">
        <f>$G$38+(2.3*12)</f>
        <v>42.61</v>
      </c>
      <c r="H97" s="67">
        <f t="shared" si="22"/>
        <v>2.7696499999999999</v>
      </c>
      <c r="I97" s="67">
        <f t="shared" si="23"/>
        <v>3.4087999999999998</v>
      </c>
      <c r="J97" s="68">
        <f t="shared" si="20"/>
        <v>10.245574499999998</v>
      </c>
      <c r="K97" s="70">
        <f t="shared" si="21"/>
        <v>59.034024499999994</v>
      </c>
      <c r="L97" s="31"/>
      <c r="R97" s="68"/>
      <c r="S97" s="70"/>
    </row>
    <row r="98" spans="1:19" x14ac:dyDescent="0.2">
      <c r="A98" s="7">
        <v>96</v>
      </c>
      <c r="B98" s="7">
        <f t="shared" si="24"/>
        <v>164.16</v>
      </c>
      <c r="C98" s="54" t="e">
        <f t="shared" si="25"/>
        <v>#N/A</v>
      </c>
      <c r="D98" s="54" t="e">
        <f t="shared" si="26"/>
        <v>#N/A</v>
      </c>
      <c r="E98" s="64"/>
      <c r="F98" s="66">
        <v>100</v>
      </c>
      <c r="G98" s="67">
        <f>$G$38+(2.3*12)</f>
        <v>42.61</v>
      </c>
      <c r="H98" s="67">
        <f t="shared" si="22"/>
        <v>2.7696499999999999</v>
      </c>
      <c r="I98" s="67">
        <f t="shared" si="23"/>
        <v>3.4087999999999998</v>
      </c>
      <c r="J98" s="68">
        <f t="shared" si="20"/>
        <v>10.245574499999998</v>
      </c>
      <c r="K98" s="70">
        <f t="shared" si="21"/>
        <v>59.034024499999994</v>
      </c>
      <c r="L98" s="31"/>
      <c r="R98" s="68"/>
      <c r="S98" s="70"/>
    </row>
    <row r="99" spans="1:19" x14ac:dyDescent="0.2">
      <c r="A99" s="7">
        <v>97</v>
      </c>
      <c r="B99" s="7">
        <f t="shared" si="24"/>
        <v>165.87</v>
      </c>
      <c r="C99" s="54" t="e">
        <f t="shared" si="25"/>
        <v>#N/A</v>
      </c>
      <c r="D99" s="54" t="e">
        <f t="shared" si="26"/>
        <v>#N/A</v>
      </c>
      <c r="E99" s="64"/>
      <c r="F99" s="66">
        <v>101</v>
      </c>
      <c r="G99" s="67">
        <f>$G$38+(2.3*13)</f>
        <v>44.91</v>
      </c>
      <c r="H99" s="67">
        <f t="shared" si="22"/>
        <v>2.9191499999999997</v>
      </c>
      <c r="I99" s="67">
        <f t="shared" si="23"/>
        <v>3.5928</v>
      </c>
      <c r="J99" s="68">
        <f t="shared" si="20"/>
        <v>10.798609499999998</v>
      </c>
      <c r="K99" s="70">
        <f t="shared" si="21"/>
        <v>62.220559499999993</v>
      </c>
      <c r="L99" s="31"/>
      <c r="R99" s="68"/>
      <c r="S99" s="70"/>
    </row>
    <row r="100" spans="1:19" x14ac:dyDescent="0.2">
      <c r="A100" s="7">
        <v>98</v>
      </c>
      <c r="B100" s="7">
        <f t="shared" si="24"/>
        <v>167.57999999999998</v>
      </c>
      <c r="C100" s="54" t="e">
        <f t="shared" si="25"/>
        <v>#N/A</v>
      </c>
      <c r="D100" s="54" t="e">
        <f t="shared" si="26"/>
        <v>#N/A</v>
      </c>
      <c r="E100" s="64"/>
      <c r="F100" s="66">
        <v>102</v>
      </c>
      <c r="G100" s="67">
        <f>$G$38+(2.3*13)</f>
        <v>44.91</v>
      </c>
      <c r="H100" s="67">
        <f t="shared" si="22"/>
        <v>2.9191499999999997</v>
      </c>
      <c r="I100" s="67">
        <f t="shared" si="23"/>
        <v>3.5928</v>
      </c>
      <c r="J100" s="68">
        <f t="shared" si="20"/>
        <v>10.798609499999998</v>
      </c>
      <c r="K100" s="70">
        <f t="shared" si="21"/>
        <v>62.220559499999993</v>
      </c>
      <c r="L100" s="31"/>
      <c r="R100" s="68"/>
      <c r="S100" s="70"/>
    </row>
    <row r="101" spans="1:19" x14ac:dyDescent="0.2">
      <c r="A101" s="7">
        <v>99</v>
      </c>
      <c r="B101" s="7">
        <f t="shared" si="24"/>
        <v>169.29</v>
      </c>
      <c r="C101" s="54" t="e">
        <f t="shared" si="25"/>
        <v>#N/A</v>
      </c>
      <c r="D101" s="54" t="e">
        <f t="shared" si="26"/>
        <v>#N/A</v>
      </c>
      <c r="E101" s="64"/>
      <c r="F101" s="66">
        <v>103</v>
      </c>
      <c r="G101" s="67">
        <f>$G$38+(2.3*13)</f>
        <v>44.91</v>
      </c>
      <c r="H101" s="67">
        <f t="shared" si="22"/>
        <v>2.9191499999999997</v>
      </c>
      <c r="I101" s="67">
        <f t="shared" si="23"/>
        <v>3.5928</v>
      </c>
      <c r="J101" s="68">
        <f t="shared" si="20"/>
        <v>10.798609499999998</v>
      </c>
      <c r="K101" s="70">
        <f t="shared" si="21"/>
        <v>62.220559499999993</v>
      </c>
      <c r="L101" s="31"/>
      <c r="R101" s="68"/>
      <c r="S101" s="70"/>
    </row>
    <row r="102" spans="1:19" x14ac:dyDescent="0.2">
      <c r="A102" s="7">
        <v>100</v>
      </c>
      <c r="B102" s="7">
        <f t="shared" si="24"/>
        <v>171</v>
      </c>
      <c r="C102" s="54" t="e">
        <f t="shared" si="25"/>
        <v>#N/A</v>
      </c>
      <c r="D102" s="54" t="e">
        <f t="shared" si="26"/>
        <v>#N/A</v>
      </c>
      <c r="E102" s="64"/>
      <c r="F102" s="66">
        <v>104</v>
      </c>
      <c r="G102" s="67">
        <f>$G$38+(2.3*13)</f>
        <v>44.91</v>
      </c>
      <c r="H102" s="67">
        <f t="shared" si="22"/>
        <v>2.9191499999999997</v>
      </c>
      <c r="I102" s="67">
        <f t="shared" si="23"/>
        <v>3.5928</v>
      </c>
      <c r="J102" s="68">
        <f t="shared" si="20"/>
        <v>10.798609499999998</v>
      </c>
      <c r="K102" s="70">
        <f t="shared" si="21"/>
        <v>62.220559499999993</v>
      </c>
      <c r="L102" s="31"/>
      <c r="R102" s="68"/>
      <c r="S102" s="70"/>
    </row>
    <row r="103" spans="1:19" x14ac:dyDescent="0.2">
      <c r="A103" s="7">
        <v>101</v>
      </c>
      <c r="B103" s="7">
        <f t="shared" si="24"/>
        <v>172.71</v>
      </c>
      <c r="C103" s="54" t="e">
        <f t="shared" si="25"/>
        <v>#N/A</v>
      </c>
      <c r="D103" s="54" t="e">
        <f t="shared" si="26"/>
        <v>#N/A</v>
      </c>
      <c r="E103" s="64"/>
      <c r="F103" s="66">
        <v>105</v>
      </c>
      <c r="G103" s="67">
        <f>$G$38+(2.3*13)</f>
        <v>44.91</v>
      </c>
      <c r="H103" s="67">
        <f t="shared" si="22"/>
        <v>2.9191499999999997</v>
      </c>
      <c r="I103" s="67">
        <f t="shared" si="23"/>
        <v>3.5928</v>
      </c>
      <c r="J103" s="68">
        <f t="shared" si="20"/>
        <v>10.798609499999998</v>
      </c>
      <c r="K103" s="70">
        <f t="shared" si="21"/>
        <v>62.220559499999993</v>
      </c>
      <c r="L103" s="31"/>
      <c r="R103" s="68"/>
      <c r="S103" s="70"/>
    </row>
    <row r="104" spans="1:19" x14ac:dyDescent="0.2">
      <c r="A104" s="7">
        <v>102</v>
      </c>
      <c r="B104" s="7">
        <f t="shared" si="24"/>
        <v>174.42</v>
      </c>
      <c r="C104" s="54" t="e">
        <f t="shared" si="25"/>
        <v>#N/A</v>
      </c>
      <c r="D104" s="54" t="e">
        <f t="shared" si="26"/>
        <v>#N/A</v>
      </c>
      <c r="E104" s="64"/>
      <c r="F104" s="66">
        <v>106</v>
      </c>
      <c r="G104" s="67">
        <f>$G$38+(2.3*14)</f>
        <v>47.209999999999994</v>
      </c>
      <c r="H104" s="67">
        <f t="shared" si="22"/>
        <v>3.0686499999999999</v>
      </c>
      <c r="I104" s="67">
        <f t="shared" si="23"/>
        <v>3.7767999999999997</v>
      </c>
      <c r="J104" s="68">
        <f t="shared" si="20"/>
        <v>11.351644499999999</v>
      </c>
      <c r="K104" s="70">
        <f t="shared" si="21"/>
        <v>65.407094499999999</v>
      </c>
      <c r="L104" s="31"/>
      <c r="R104" s="68"/>
      <c r="S104" s="70"/>
    </row>
    <row r="105" spans="1:19" x14ac:dyDescent="0.2">
      <c r="A105" s="7">
        <v>103</v>
      </c>
      <c r="B105" s="7">
        <f t="shared" si="24"/>
        <v>176.13</v>
      </c>
      <c r="C105" s="54" t="e">
        <f t="shared" si="25"/>
        <v>#N/A</v>
      </c>
      <c r="D105" s="54" t="e">
        <f t="shared" si="26"/>
        <v>#N/A</v>
      </c>
      <c r="E105" s="64"/>
      <c r="F105" s="66">
        <v>107</v>
      </c>
      <c r="G105" s="67">
        <f>$G$38+(2.3*14)</f>
        <v>47.209999999999994</v>
      </c>
      <c r="H105" s="67">
        <f t="shared" si="22"/>
        <v>3.0686499999999999</v>
      </c>
      <c r="I105" s="67">
        <f t="shared" si="23"/>
        <v>3.7767999999999997</v>
      </c>
      <c r="J105" s="68">
        <f t="shared" si="20"/>
        <v>11.351644499999999</v>
      </c>
      <c r="K105" s="70">
        <f t="shared" si="21"/>
        <v>65.407094499999999</v>
      </c>
      <c r="L105" s="31"/>
      <c r="R105" s="68"/>
      <c r="S105" s="70"/>
    </row>
    <row r="106" spans="1:19" x14ac:dyDescent="0.2">
      <c r="A106" s="7">
        <v>104</v>
      </c>
      <c r="B106" s="7">
        <f t="shared" si="24"/>
        <v>177.84</v>
      </c>
      <c r="C106" s="54" t="e">
        <f t="shared" si="25"/>
        <v>#N/A</v>
      </c>
      <c r="D106" s="54" t="e">
        <f t="shared" si="26"/>
        <v>#N/A</v>
      </c>
      <c r="E106" s="64"/>
      <c r="F106" s="66">
        <v>108</v>
      </c>
      <c r="G106" s="67">
        <f>$G$38+(2.3*14)</f>
        <v>47.209999999999994</v>
      </c>
      <c r="H106" s="67">
        <f t="shared" si="22"/>
        <v>3.0686499999999999</v>
      </c>
      <c r="I106" s="67">
        <f t="shared" si="23"/>
        <v>3.7767999999999997</v>
      </c>
      <c r="J106" s="68">
        <f t="shared" si="20"/>
        <v>11.351644499999999</v>
      </c>
      <c r="K106" s="70">
        <f t="shared" si="21"/>
        <v>65.407094499999999</v>
      </c>
      <c r="L106" s="31"/>
      <c r="R106" s="68"/>
      <c r="S106" s="70"/>
    </row>
    <row r="107" spans="1:19" x14ac:dyDescent="0.2">
      <c r="A107" s="7">
        <v>105</v>
      </c>
      <c r="B107" s="7">
        <f t="shared" si="24"/>
        <v>179.54999999999998</v>
      </c>
      <c r="C107" s="54" t="e">
        <f t="shared" si="25"/>
        <v>#N/A</v>
      </c>
      <c r="D107" s="54" t="e">
        <f t="shared" si="26"/>
        <v>#N/A</v>
      </c>
      <c r="E107" s="64"/>
      <c r="F107" s="66">
        <v>109</v>
      </c>
      <c r="G107" s="67">
        <f>$G$38+(2.3*14)</f>
        <v>47.209999999999994</v>
      </c>
      <c r="H107" s="67">
        <f t="shared" si="22"/>
        <v>3.0686499999999999</v>
      </c>
      <c r="I107" s="67">
        <f t="shared" si="23"/>
        <v>3.7767999999999997</v>
      </c>
      <c r="J107" s="68">
        <f t="shared" si="20"/>
        <v>11.351644499999999</v>
      </c>
      <c r="K107" s="70">
        <f t="shared" si="21"/>
        <v>65.407094499999999</v>
      </c>
      <c r="L107" s="31"/>
      <c r="R107" s="68"/>
      <c r="S107" s="70"/>
    </row>
    <row r="108" spans="1:19" x14ac:dyDescent="0.2">
      <c r="A108" s="7">
        <v>106</v>
      </c>
      <c r="B108" s="7">
        <f t="shared" si="24"/>
        <v>181.26</v>
      </c>
      <c r="C108" s="54" t="e">
        <f t="shared" si="25"/>
        <v>#N/A</v>
      </c>
      <c r="D108" s="54" t="e">
        <f t="shared" si="26"/>
        <v>#N/A</v>
      </c>
      <c r="E108" s="64"/>
      <c r="F108" s="66">
        <v>110</v>
      </c>
      <c r="G108" s="67">
        <f>$G$38+(2.3*14)</f>
        <v>47.209999999999994</v>
      </c>
      <c r="H108" s="67">
        <f t="shared" si="22"/>
        <v>3.0686499999999999</v>
      </c>
      <c r="I108" s="67">
        <f t="shared" si="23"/>
        <v>3.7767999999999997</v>
      </c>
      <c r="J108" s="68">
        <f t="shared" si="20"/>
        <v>11.351644499999999</v>
      </c>
      <c r="K108" s="70">
        <f t="shared" si="21"/>
        <v>65.407094499999999</v>
      </c>
      <c r="L108" s="31"/>
      <c r="R108" s="68"/>
      <c r="S108" s="70"/>
    </row>
    <row r="109" spans="1:19" x14ac:dyDescent="0.2">
      <c r="A109" s="7">
        <v>107</v>
      </c>
      <c r="B109" s="7">
        <f t="shared" si="24"/>
        <v>182.97</v>
      </c>
      <c r="C109" s="54" t="e">
        <f t="shared" si="25"/>
        <v>#N/A</v>
      </c>
      <c r="D109" s="54" t="e">
        <f t="shared" si="26"/>
        <v>#N/A</v>
      </c>
      <c r="E109" s="64"/>
      <c r="F109" s="66">
        <v>111</v>
      </c>
      <c r="G109" s="67">
        <f>$G$38+(2.3*15)</f>
        <v>49.51</v>
      </c>
      <c r="H109" s="67">
        <f t="shared" si="22"/>
        <v>3.2181500000000001</v>
      </c>
      <c r="I109" s="67">
        <f t="shared" si="23"/>
        <v>3.9607999999999999</v>
      </c>
      <c r="J109" s="68">
        <f t="shared" si="20"/>
        <v>11.904679499999999</v>
      </c>
      <c r="K109" s="70">
        <f t="shared" si="21"/>
        <v>68.593629499999992</v>
      </c>
      <c r="L109" s="31"/>
      <c r="R109" s="68"/>
      <c r="S109" s="70"/>
    </row>
    <row r="110" spans="1:19" x14ac:dyDescent="0.2">
      <c r="A110" s="7">
        <v>108</v>
      </c>
      <c r="B110" s="7">
        <f t="shared" si="24"/>
        <v>184.68</v>
      </c>
      <c r="C110" s="54" t="e">
        <f t="shared" si="25"/>
        <v>#N/A</v>
      </c>
      <c r="D110" s="54" t="e">
        <f t="shared" si="26"/>
        <v>#N/A</v>
      </c>
      <c r="E110" s="64"/>
      <c r="F110" s="66">
        <v>112</v>
      </c>
      <c r="G110" s="67">
        <f>$G$38+(2.3*15)</f>
        <v>49.51</v>
      </c>
      <c r="H110" s="67">
        <f t="shared" si="22"/>
        <v>3.2181500000000001</v>
      </c>
      <c r="I110" s="67">
        <f t="shared" si="23"/>
        <v>3.9607999999999999</v>
      </c>
      <c r="J110" s="68">
        <f t="shared" si="20"/>
        <v>11.904679499999999</v>
      </c>
      <c r="K110" s="70">
        <f t="shared" si="21"/>
        <v>68.593629499999992</v>
      </c>
      <c r="L110" s="31"/>
      <c r="R110" s="68"/>
      <c r="S110" s="70"/>
    </row>
    <row r="111" spans="1:19" x14ac:dyDescent="0.2">
      <c r="A111" s="7">
        <v>109</v>
      </c>
      <c r="B111" s="7">
        <f t="shared" si="24"/>
        <v>186.39</v>
      </c>
      <c r="C111" s="54" t="e">
        <f t="shared" si="25"/>
        <v>#N/A</v>
      </c>
      <c r="D111" s="54" t="e">
        <f t="shared" si="26"/>
        <v>#N/A</v>
      </c>
      <c r="E111" s="64"/>
      <c r="F111" s="66">
        <v>113</v>
      </c>
      <c r="G111" s="67">
        <f>$G$38+(2.3*15)</f>
        <v>49.51</v>
      </c>
      <c r="H111" s="67">
        <f t="shared" si="22"/>
        <v>3.2181500000000001</v>
      </c>
      <c r="I111" s="67">
        <f t="shared" si="23"/>
        <v>3.9607999999999999</v>
      </c>
      <c r="J111" s="68">
        <f t="shared" si="20"/>
        <v>11.904679499999999</v>
      </c>
      <c r="K111" s="70">
        <f t="shared" si="21"/>
        <v>68.593629499999992</v>
      </c>
      <c r="L111" s="31"/>
      <c r="R111" s="68"/>
      <c r="S111" s="70"/>
    </row>
    <row r="112" spans="1:19" x14ac:dyDescent="0.2">
      <c r="A112" s="7">
        <v>110</v>
      </c>
      <c r="B112" s="7">
        <f t="shared" si="24"/>
        <v>188.1</v>
      </c>
      <c r="C112" s="54" t="e">
        <f t="shared" si="25"/>
        <v>#N/A</v>
      </c>
      <c r="D112" s="54" t="e">
        <f t="shared" si="26"/>
        <v>#N/A</v>
      </c>
      <c r="E112" s="64"/>
      <c r="F112" s="66">
        <v>114</v>
      </c>
      <c r="G112" s="67">
        <f>$G$38+(2.3*15)</f>
        <v>49.51</v>
      </c>
      <c r="H112" s="67">
        <f t="shared" si="22"/>
        <v>3.2181500000000001</v>
      </c>
      <c r="I112" s="67">
        <f t="shared" si="23"/>
        <v>3.9607999999999999</v>
      </c>
      <c r="J112" s="68">
        <f t="shared" si="20"/>
        <v>11.904679499999999</v>
      </c>
      <c r="K112" s="70">
        <f t="shared" si="21"/>
        <v>68.593629499999992</v>
      </c>
      <c r="L112" s="31"/>
      <c r="R112" s="68"/>
      <c r="S112" s="70"/>
    </row>
    <row r="113" spans="1:19" x14ac:dyDescent="0.2">
      <c r="A113" s="7">
        <v>111</v>
      </c>
      <c r="B113" s="7">
        <f t="shared" si="24"/>
        <v>189.81</v>
      </c>
      <c r="C113" s="54" t="e">
        <f t="shared" si="25"/>
        <v>#N/A</v>
      </c>
      <c r="D113" s="54" t="e">
        <f t="shared" si="26"/>
        <v>#N/A</v>
      </c>
      <c r="E113" s="64"/>
      <c r="F113" s="66">
        <v>115</v>
      </c>
      <c r="G113" s="67">
        <f>$G$38+(2.3*15)</f>
        <v>49.51</v>
      </c>
      <c r="H113" s="67">
        <f t="shared" si="22"/>
        <v>3.2181500000000001</v>
      </c>
      <c r="I113" s="67">
        <f t="shared" si="23"/>
        <v>3.9607999999999999</v>
      </c>
      <c r="J113" s="68">
        <f t="shared" si="20"/>
        <v>11.904679499999999</v>
      </c>
      <c r="K113" s="70">
        <f t="shared" si="21"/>
        <v>68.593629499999992</v>
      </c>
      <c r="L113" s="31"/>
      <c r="R113" s="68"/>
      <c r="S113" s="70"/>
    </row>
    <row r="114" spans="1:19" x14ac:dyDescent="0.2">
      <c r="A114" s="7">
        <v>112</v>
      </c>
      <c r="B114" s="7">
        <f t="shared" si="24"/>
        <v>191.51999999999998</v>
      </c>
      <c r="C114" s="54" t="e">
        <f t="shared" si="25"/>
        <v>#N/A</v>
      </c>
      <c r="D114" s="54" t="e">
        <f t="shared" si="26"/>
        <v>#N/A</v>
      </c>
      <c r="E114" s="64"/>
      <c r="F114" s="66">
        <v>116</v>
      </c>
      <c r="G114" s="67">
        <f>$G$38+(2.3*16)</f>
        <v>51.809999999999995</v>
      </c>
      <c r="H114" s="67">
        <f t="shared" si="22"/>
        <v>3.3676499999999998</v>
      </c>
      <c r="I114" s="67">
        <f t="shared" si="23"/>
        <v>4.1448</v>
      </c>
      <c r="J114" s="68">
        <f t="shared" si="20"/>
        <v>12.457714499999998</v>
      </c>
      <c r="K114" s="70">
        <f t="shared" si="21"/>
        <v>71.780164499999984</v>
      </c>
      <c r="L114" s="31"/>
      <c r="R114" s="68"/>
      <c r="S114" s="70"/>
    </row>
    <row r="115" spans="1:19" x14ac:dyDescent="0.2">
      <c r="A115" s="7">
        <v>113</v>
      </c>
      <c r="B115" s="7">
        <f t="shared" si="24"/>
        <v>193.23</v>
      </c>
      <c r="C115" s="54" t="e">
        <f t="shared" si="25"/>
        <v>#N/A</v>
      </c>
      <c r="D115" s="54" t="e">
        <f t="shared" si="26"/>
        <v>#N/A</v>
      </c>
      <c r="E115" s="64"/>
      <c r="F115" s="66">
        <v>117</v>
      </c>
      <c r="G115" s="67">
        <f>$G$38+(2.3*16)</f>
        <v>51.809999999999995</v>
      </c>
      <c r="H115" s="67">
        <f t="shared" si="22"/>
        <v>3.3676499999999998</v>
      </c>
      <c r="I115" s="67">
        <f t="shared" si="23"/>
        <v>4.1448</v>
      </c>
      <c r="J115" s="68">
        <f t="shared" si="20"/>
        <v>12.457714499999998</v>
      </c>
      <c r="K115" s="70">
        <f t="shared" si="21"/>
        <v>71.780164499999984</v>
      </c>
      <c r="L115" s="31"/>
      <c r="R115" s="68"/>
      <c r="S115" s="70"/>
    </row>
    <row r="116" spans="1:19" x14ac:dyDescent="0.2">
      <c r="A116" s="7">
        <v>114</v>
      </c>
      <c r="B116" s="7">
        <f t="shared" si="24"/>
        <v>194.94</v>
      </c>
      <c r="C116" s="54" t="e">
        <f t="shared" si="25"/>
        <v>#N/A</v>
      </c>
      <c r="D116" s="54" t="e">
        <f t="shared" si="26"/>
        <v>#N/A</v>
      </c>
      <c r="E116" s="64"/>
      <c r="F116" s="66">
        <v>118</v>
      </c>
      <c r="G116" s="67">
        <f>$G$38+(2.3*16)</f>
        <v>51.809999999999995</v>
      </c>
      <c r="H116" s="67">
        <f t="shared" si="22"/>
        <v>3.3676499999999998</v>
      </c>
      <c r="I116" s="67">
        <f t="shared" si="23"/>
        <v>4.1448</v>
      </c>
      <c r="J116" s="68">
        <f t="shared" si="20"/>
        <v>12.457714499999998</v>
      </c>
      <c r="K116" s="70">
        <f t="shared" si="21"/>
        <v>71.780164499999984</v>
      </c>
      <c r="L116" s="31"/>
      <c r="R116" s="68"/>
      <c r="S116" s="70"/>
    </row>
    <row r="117" spans="1:19" x14ac:dyDescent="0.2">
      <c r="A117" s="7">
        <v>115</v>
      </c>
      <c r="B117" s="7">
        <f t="shared" si="24"/>
        <v>196.65</v>
      </c>
      <c r="C117" s="54" t="e">
        <f t="shared" si="25"/>
        <v>#N/A</v>
      </c>
      <c r="D117" s="54" t="e">
        <f t="shared" si="26"/>
        <v>#N/A</v>
      </c>
      <c r="E117" s="64"/>
      <c r="F117" s="66">
        <v>119</v>
      </c>
      <c r="G117" s="67">
        <f>$G$38+(2.3*16)</f>
        <v>51.809999999999995</v>
      </c>
      <c r="H117" s="67">
        <f t="shared" si="22"/>
        <v>3.3676499999999998</v>
      </c>
      <c r="I117" s="67">
        <f t="shared" si="23"/>
        <v>4.1448</v>
      </c>
      <c r="J117" s="68">
        <f t="shared" si="20"/>
        <v>12.457714499999998</v>
      </c>
      <c r="K117" s="70">
        <f t="shared" si="21"/>
        <v>71.780164499999984</v>
      </c>
      <c r="L117" s="31"/>
      <c r="R117" s="68"/>
      <c r="S117" s="70"/>
    </row>
    <row r="118" spans="1:19" x14ac:dyDescent="0.2">
      <c r="A118" s="7">
        <v>116</v>
      </c>
      <c r="B118" s="7">
        <f t="shared" si="24"/>
        <v>198.35999999999999</v>
      </c>
      <c r="C118" s="54" t="e">
        <f t="shared" si="25"/>
        <v>#N/A</v>
      </c>
      <c r="D118" s="54" t="e">
        <f t="shared" si="26"/>
        <v>#N/A</v>
      </c>
      <c r="E118" s="64"/>
      <c r="F118" s="66">
        <v>120</v>
      </c>
      <c r="G118" s="67">
        <f>$G$38+(2.3*16)</f>
        <v>51.809999999999995</v>
      </c>
      <c r="H118" s="67">
        <f t="shared" si="22"/>
        <v>3.3676499999999998</v>
      </c>
      <c r="I118" s="67">
        <f t="shared" si="23"/>
        <v>4.1448</v>
      </c>
      <c r="J118" s="68">
        <f t="shared" si="20"/>
        <v>12.457714499999998</v>
      </c>
      <c r="K118" s="70">
        <f t="shared" si="21"/>
        <v>71.780164499999984</v>
      </c>
      <c r="L118" s="31"/>
      <c r="R118" s="68"/>
      <c r="S118" s="70"/>
    </row>
    <row r="119" spans="1:19" x14ac:dyDescent="0.2">
      <c r="A119" s="7">
        <v>117</v>
      </c>
      <c r="B119" s="7">
        <f t="shared" si="24"/>
        <v>200.07</v>
      </c>
      <c r="C119" s="54" t="e">
        <f t="shared" si="25"/>
        <v>#N/A</v>
      </c>
      <c r="D119" s="54" t="e">
        <f t="shared" si="26"/>
        <v>#N/A</v>
      </c>
      <c r="E119" s="64"/>
      <c r="F119" s="66">
        <v>121</v>
      </c>
      <c r="G119" s="67">
        <f>$G$38+(2.3*17)</f>
        <v>54.109999999999992</v>
      </c>
      <c r="H119" s="67">
        <f t="shared" si="22"/>
        <v>3.5171499999999996</v>
      </c>
      <c r="I119" s="67">
        <f t="shared" si="23"/>
        <v>4.3287999999999993</v>
      </c>
      <c r="J119" s="68">
        <f t="shared" si="20"/>
        <v>13.010749499999998</v>
      </c>
      <c r="K119" s="70">
        <f t="shared" si="21"/>
        <v>74.96669949999999</v>
      </c>
      <c r="L119" s="31"/>
      <c r="R119" s="68"/>
      <c r="S119" s="70"/>
    </row>
    <row r="120" spans="1:19" x14ac:dyDescent="0.2">
      <c r="A120" s="7">
        <v>118</v>
      </c>
      <c r="B120" s="7">
        <f t="shared" si="24"/>
        <v>201.78</v>
      </c>
      <c r="C120" s="54" t="e">
        <f t="shared" si="25"/>
        <v>#N/A</v>
      </c>
      <c r="D120" s="54" t="e">
        <f t="shared" si="26"/>
        <v>#N/A</v>
      </c>
      <c r="E120" s="64"/>
      <c r="F120" s="66">
        <v>122</v>
      </c>
      <c r="G120" s="67">
        <f t="shared" ref="G120:G126" si="32">$G$38+(2.3*17)</f>
        <v>54.109999999999992</v>
      </c>
      <c r="H120" s="67">
        <f t="shared" si="22"/>
        <v>3.5171499999999996</v>
      </c>
      <c r="I120" s="67">
        <f t="shared" si="23"/>
        <v>4.3287999999999993</v>
      </c>
      <c r="J120" s="68">
        <f t="shared" si="20"/>
        <v>13.010749499999998</v>
      </c>
      <c r="K120" s="70">
        <f t="shared" si="21"/>
        <v>74.96669949999999</v>
      </c>
      <c r="L120" s="31"/>
      <c r="R120" s="68"/>
      <c r="S120" s="70"/>
    </row>
    <row r="121" spans="1:19" x14ac:dyDescent="0.2">
      <c r="A121" s="7">
        <v>119</v>
      </c>
      <c r="B121" s="7">
        <f t="shared" si="24"/>
        <v>203.49</v>
      </c>
      <c r="C121" s="54" t="e">
        <f t="shared" si="25"/>
        <v>#N/A</v>
      </c>
      <c r="D121" s="54" t="e">
        <f t="shared" si="26"/>
        <v>#N/A</v>
      </c>
      <c r="E121" s="64"/>
      <c r="F121" s="66">
        <v>123</v>
      </c>
      <c r="G121" s="67">
        <f t="shared" si="32"/>
        <v>54.109999999999992</v>
      </c>
      <c r="H121" s="67">
        <f t="shared" si="22"/>
        <v>3.5171499999999996</v>
      </c>
      <c r="I121" s="67">
        <f t="shared" si="23"/>
        <v>4.3287999999999993</v>
      </c>
      <c r="J121" s="68">
        <f t="shared" si="20"/>
        <v>13.010749499999998</v>
      </c>
      <c r="K121" s="70">
        <f t="shared" si="21"/>
        <v>74.96669949999999</v>
      </c>
      <c r="L121" s="31"/>
      <c r="R121" s="68"/>
      <c r="S121" s="70"/>
    </row>
    <row r="122" spans="1:19" x14ac:dyDescent="0.2">
      <c r="A122" s="7">
        <v>120</v>
      </c>
      <c r="B122" s="7">
        <f t="shared" si="24"/>
        <v>205.2</v>
      </c>
      <c r="C122" s="54" t="e">
        <f t="shared" si="25"/>
        <v>#N/A</v>
      </c>
      <c r="D122" s="54" t="e">
        <f t="shared" si="26"/>
        <v>#N/A</v>
      </c>
      <c r="E122" s="64"/>
      <c r="F122" s="66">
        <v>124</v>
      </c>
      <c r="G122" s="67">
        <f t="shared" si="32"/>
        <v>54.109999999999992</v>
      </c>
      <c r="H122" s="67">
        <f t="shared" si="22"/>
        <v>3.5171499999999996</v>
      </c>
      <c r="I122" s="67">
        <f t="shared" si="23"/>
        <v>4.3287999999999993</v>
      </c>
      <c r="J122" s="68">
        <f t="shared" si="20"/>
        <v>13.010749499999998</v>
      </c>
      <c r="K122" s="70">
        <f t="shared" si="21"/>
        <v>74.96669949999999</v>
      </c>
      <c r="L122" s="31"/>
      <c r="R122" s="68"/>
      <c r="S122" s="70"/>
    </row>
    <row r="123" spans="1:19" x14ac:dyDescent="0.2">
      <c r="A123" s="7">
        <v>121</v>
      </c>
      <c r="B123" s="7">
        <f t="shared" si="24"/>
        <v>206.91</v>
      </c>
      <c r="C123" s="54" t="e">
        <f t="shared" si="25"/>
        <v>#N/A</v>
      </c>
      <c r="D123" s="54" t="e">
        <f t="shared" si="26"/>
        <v>#N/A</v>
      </c>
      <c r="E123" s="64"/>
      <c r="F123" s="66">
        <v>125</v>
      </c>
      <c r="G123" s="67">
        <f t="shared" si="32"/>
        <v>54.109999999999992</v>
      </c>
      <c r="H123" s="67">
        <f t="shared" si="22"/>
        <v>3.5171499999999996</v>
      </c>
      <c r="I123" s="67">
        <f t="shared" si="23"/>
        <v>4.3287999999999993</v>
      </c>
      <c r="J123" s="68">
        <f t="shared" si="20"/>
        <v>13.010749499999998</v>
      </c>
      <c r="K123" s="70">
        <f t="shared" si="21"/>
        <v>74.96669949999999</v>
      </c>
      <c r="L123" s="31"/>
      <c r="R123" s="68"/>
      <c r="S123" s="70"/>
    </row>
    <row r="124" spans="1:19" x14ac:dyDescent="0.2">
      <c r="A124" s="7">
        <v>122</v>
      </c>
      <c r="B124" s="7">
        <f t="shared" si="24"/>
        <v>208.62</v>
      </c>
      <c r="C124" s="54" t="e">
        <f t="shared" si="25"/>
        <v>#N/A</v>
      </c>
      <c r="D124" s="54" t="e">
        <f t="shared" si="26"/>
        <v>#N/A</v>
      </c>
      <c r="E124" s="64"/>
      <c r="F124" s="66">
        <v>126</v>
      </c>
      <c r="G124" s="67">
        <f t="shared" si="32"/>
        <v>54.109999999999992</v>
      </c>
      <c r="H124" s="67">
        <f t="shared" si="22"/>
        <v>3.5171499999999996</v>
      </c>
      <c r="I124" s="67">
        <f t="shared" si="23"/>
        <v>4.3287999999999993</v>
      </c>
      <c r="J124" s="68">
        <f t="shared" si="20"/>
        <v>13.010749499999998</v>
      </c>
      <c r="K124" s="70">
        <f t="shared" si="21"/>
        <v>74.96669949999999</v>
      </c>
      <c r="L124" s="31"/>
      <c r="R124" s="68"/>
      <c r="S124" s="70"/>
    </row>
    <row r="125" spans="1:19" x14ac:dyDescent="0.2">
      <c r="A125" s="7">
        <v>123</v>
      </c>
      <c r="B125" s="7">
        <f t="shared" si="24"/>
        <v>210.32999999999998</v>
      </c>
      <c r="C125" s="54" t="e">
        <f t="shared" si="25"/>
        <v>#N/A</v>
      </c>
      <c r="D125" s="54" t="e">
        <f t="shared" si="26"/>
        <v>#N/A</v>
      </c>
      <c r="E125" s="64"/>
      <c r="F125" s="66">
        <v>127</v>
      </c>
      <c r="G125" s="67">
        <f t="shared" si="32"/>
        <v>54.109999999999992</v>
      </c>
      <c r="H125" s="67">
        <f t="shared" si="22"/>
        <v>3.5171499999999996</v>
      </c>
      <c r="I125" s="67">
        <f t="shared" si="23"/>
        <v>4.3287999999999993</v>
      </c>
      <c r="J125" s="68">
        <f t="shared" si="20"/>
        <v>13.010749499999998</v>
      </c>
      <c r="K125" s="70">
        <f t="shared" si="21"/>
        <v>74.96669949999999</v>
      </c>
      <c r="L125" s="31"/>
      <c r="R125" s="68"/>
      <c r="S125" s="70"/>
    </row>
    <row r="126" spans="1:19" x14ac:dyDescent="0.2">
      <c r="A126" s="7">
        <v>124</v>
      </c>
      <c r="B126" s="7">
        <f t="shared" si="24"/>
        <v>212.04</v>
      </c>
      <c r="C126" s="54" t="e">
        <f t="shared" si="25"/>
        <v>#N/A</v>
      </c>
      <c r="D126" s="54" t="e">
        <f t="shared" si="26"/>
        <v>#N/A</v>
      </c>
      <c r="E126" s="64"/>
      <c r="F126" s="66">
        <v>128</v>
      </c>
      <c r="G126" s="67">
        <f t="shared" si="32"/>
        <v>54.109999999999992</v>
      </c>
      <c r="H126" s="67">
        <f t="shared" si="22"/>
        <v>3.5171499999999996</v>
      </c>
      <c r="I126" s="67">
        <f t="shared" si="23"/>
        <v>4.3287999999999993</v>
      </c>
      <c r="J126" s="68">
        <f t="shared" si="20"/>
        <v>13.010749499999998</v>
      </c>
      <c r="K126" s="70">
        <f t="shared" si="21"/>
        <v>74.96669949999999</v>
      </c>
      <c r="L126" s="31"/>
      <c r="R126" s="68"/>
      <c r="S126" s="70"/>
    </row>
    <row r="127" spans="1:19" x14ac:dyDescent="0.2">
      <c r="A127" s="7">
        <v>125</v>
      </c>
      <c r="B127" s="7">
        <f t="shared" si="24"/>
        <v>213.75</v>
      </c>
      <c r="C127" s="54" t="e">
        <f t="shared" si="25"/>
        <v>#N/A</v>
      </c>
      <c r="D127" s="54" t="e">
        <f t="shared" si="26"/>
        <v>#N/A</v>
      </c>
      <c r="E127" s="64"/>
      <c r="F127" s="7">
        <v>129</v>
      </c>
      <c r="H127" s="28">
        <f t="shared" si="22"/>
        <v>0</v>
      </c>
      <c r="I127" s="28">
        <f t="shared" si="23"/>
        <v>0</v>
      </c>
      <c r="J127" s="31">
        <f t="shared" si="20"/>
        <v>0</v>
      </c>
      <c r="K127" s="71">
        <f t="shared" si="21"/>
        <v>0</v>
      </c>
      <c r="L127" s="31"/>
      <c r="R127" s="68"/>
      <c r="S127" s="70"/>
    </row>
    <row r="128" spans="1:19" x14ac:dyDescent="0.2">
      <c r="A128" s="7">
        <v>126</v>
      </c>
      <c r="B128" s="7">
        <f t="shared" si="24"/>
        <v>215.46</v>
      </c>
      <c r="C128" s="54" t="e">
        <f t="shared" si="25"/>
        <v>#N/A</v>
      </c>
      <c r="D128" s="54" t="e">
        <f t="shared" si="26"/>
        <v>#N/A</v>
      </c>
      <c r="E128" s="64"/>
      <c r="F128" s="7">
        <v>130</v>
      </c>
      <c r="H128" s="28">
        <f t="shared" si="22"/>
        <v>0</v>
      </c>
      <c r="I128" s="28">
        <f t="shared" si="23"/>
        <v>0</v>
      </c>
      <c r="J128" s="31">
        <f t="shared" si="20"/>
        <v>0</v>
      </c>
      <c r="K128" s="71">
        <f t="shared" si="21"/>
        <v>0</v>
      </c>
      <c r="L128" s="31"/>
      <c r="R128" s="68"/>
      <c r="S128" s="70"/>
    </row>
    <row r="129" spans="1:19" x14ac:dyDescent="0.2">
      <c r="A129" s="7">
        <v>127</v>
      </c>
      <c r="B129" s="7">
        <f t="shared" si="24"/>
        <v>217.17</v>
      </c>
      <c r="C129" s="54" t="e">
        <f t="shared" si="25"/>
        <v>#N/A</v>
      </c>
      <c r="D129" s="54" t="e">
        <f t="shared" si="26"/>
        <v>#N/A</v>
      </c>
      <c r="E129" s="64"/>
      <c r="F129" s="7">
        <v>131</v>
      </c>
      <c r="H129" s="28">
        <f t="shared" si="22"/>
        <v>0</v>
      </c>
      <c r="I129" s="28">
        <f t="shared" si="23"/>
        <v>0</v>
      </c>
      <c r="J129" s="31">
        <f t="shared" si="20"/>
        <v>0</v>
      </c>
      <c r="K129" s="71">
        <f t="shared" si="21"/>
        <v>0</v>
      </c>
      <c r="L129" s="31"/>
      <c r="R129" s="68"/>
      <c r="S129" s="70"/>
    </row>
    <row r="130" spans="1:19" x14ac:dyDescent="0.2">
      <c r="A130" s="7">
        <v>128</v>
      </c>
      <c r="B130" s="7">
        <f t="shared" si="24"/>
        <v>218.88</v>
      </c>
      <c r="C130" s="54" t="e">
        <f t="shared" si="25"/>
        <v>#N/A</v>
      </c>
      <c r="D130" s="54" t="e">
        <f t="shared" si="26"/>
        <v>#N/A</v>
      </c>
      <c r="E130" s="64"/>
      <c r="F130" s="7">
        <v>132</v>
      </c>
      <c r="H130" s="28">
        <f t="shared" si="22"/>
        <v>0</v>
      </c>
      <c r="I130" s="28">
        <f t="shared" si="23"/>
        <v>0</v>
      </c>
      <c r="J130" s="31">
        <f t="shared" si="20"/>
        <v>0</v>
      </c>
      <c r="K130" s="71">
        <f t="shared" si="21"/>
        <v>0</v>
      </c>
      <c r="L130" s="31"/>
      <c r="R130" s="68"/>
      <c r="S130" s="70"/>
    </row>
    <row r="131" spans="1:19" x14ac:dyDescent="0.2">
      <c r="A131" s="7">
        <v>129</v>
      </c>
      <c r="B131" s="7">
        <f t="shared" si="24"/>
        <v>220.59</v>
      </c>
      <c r="C131" s="54" t="e">
        <f t="shared" si="25"/>
        <v>#N/A</v>
      </c>
      <c r="D131" s="54" t="e">
        <f t="shared" si="26"/>
        <v>#N/A</v>
      </c>
      <c r="E131" s="64"/>
      <c r="F131" s="7">
        <v>133</v>
      </c>
      <c r="H131" s="28">
        <f t="shared" si="22"/>
        <v>0</v>
      </c>
      <c r="I131" s="28">
        <f t="shared" si="23"/>
        <v>0</v>
      </c>
      <c r="J131" s="31">
        <f t="shared" si="20"/>
        <v>0</v>
      </c>
      <c r="K131" s="71">
        <f t="shared" si="21"/>
        <v>0</v>
      </c>
      <c r="L131" s="31"/>
      <c r="R131" s="68"/>
      <c r="S131" s="70"/>
    </row>
    <row r="132" spans="1:19" x14ac:dyDescent="0.2">
      <c r="A132" s="7">
        <v>130</v>
      </c>
      <c r="B132" s="7">
        <f t="shared" si="24"/>
        <v>222.29999999999998</v>
      </c>
      <c r="C132" s="54" t="e">
        <f t="shared" si="25"/>
        <v>#N/A</v>
      </c>
      <c r="D132" s="54" t="e">
        <f t="shared" si="26"/>
        <v>#N/A</v>
      </c>
      <c r="E132" s="64"/>
      <c r="F132" s="7">
        <v>134</v>
      </c>
      <c r="H132" s="28">
        <f t="shared" si="22"/>
        <v>0</v>
      </c>
      <c r="I132" s="28">
        <f t="shared" si="23"/>
        <v>0</v>
      </c>
      <c r="J132" s="31">
        <f t="shared" ref="J132:J152" si="33">(G132+H132+I132)*21%</f>
        <v>0</v>
      </c>
      <c r="K132" s="71">
        <f t="shared" ref="K132:K152" si="34">SUM(G132:J132)</f>
        <v>0</v>
      </c>
      <c r="L132" s="31"/>
      <c r="R132" s="68"/>
      <c r="S132" s="70"/>
    </row>
    <row r="133" spans="1:19" x14ac:dyDescent="0.2">
      <c r="A133" s="7">
        <v>131</v>
      </c>
      <c r="B133" s="7">
        <f t="shared" si="24"/>
        <v>224.01</v>
      </c>
      <c r="C133" s="54" t="e">
        <f t="shared" si="25"/>
        <v>#N/A</v>
      </c>
      <c r="D133" s="54" t="e">
        <f t="shared" si="26"/>
        <v>#N/A</v>
      </c>
      <c r="E133" s="64"/>
      <c r="F133" s="7">
        <v>135</v>
      </c>
      <c r="H133" s="28">
        <f t="shared" ref="H133:H153" si="35">G133*$AA$10</f>
        <v>0</v>
      </c>
      <c r="I133" s="28">
        <f t="shared" ref="I133:I153" si="36">G133*$AA$11</f>
        <v>0</v>
      </c>
      <c r="J133" s="31">
        <f t="shared" si="33"/>
        <v>0</v>
      </c>
      <c r="K133" s="71">
        <f t="shared" si="34"/>
        <v>0</v>
      </c>
      <c r="L133" s="31"/>
      <c r="R133" s="68"/>
      <c r="S133" s="70"/>
    </row>
    <row r="134" spans="1:19" x14ac:dyDescent="0.2">
      <c r="A134" s="7">
        <v>132</v>
      </c>
      <c r="B134" s="7">
        <f t="shared" ref="B134:B152" si="37">(0.855*2)*A134</f>
        <v>225.72</v>
      </c>
      <c r="C134" s="54" t="e">
        <f t="shared" ref="C134:C152" si="38">VLOOKUP((ROUNDUP(B134,0)),F:K,6,0)</f>
        <v>#N/A</v>
      </c>
      <c r="D134" s="54" t="e">
        <f t="shared" ref="D134:D153" si="39">VLOOKUP((ROUNDUP(B134,0)),N:S,6,0)</f>
        <v>#N/A</v>
      </c>
      <c r="E134" s="64"/>
      <c r="F134" s="7">
        <v>136</v>
      </c>
      <c r="H134" s="28">
        <f t="shared" si="35"/>
        <v>0</v>
      </c>
      <c r="I134" s="28">
        <f t="shared" si="36"/>
        <v>0</v>
      </c>
      <c r="J134" s="31">
        <f t="shared" si="33"/>
        <v>0</v>
      </c>
      <c r="K134" s="71">
        <f t="shared" si="34"/>
        <v>0</v>
      </c>
      <c r="L134" s="31"/>
      <c r="R134" s="68"/>
      <c r="S134" s="70"/>
    </row>
    <row r="135" spans="1:19" x14ac:dyDescent="0.2">
      <c r="A135" s="7">
        <v>133</v>
      </c>
      <c r="B135" s="7">
        <f t="shared" si="37"/>
        <v>227.43</v>
      </c>
      <c r="C135" s="54" t="e">
        <f t="shared" si="38"/>
        <v>#N/A</v>
      </c>
      <c r="D135" s="54" t="e">
        <f t="shared" si="39"/>
        <v>#N/A</v>
      </c>
      <c r="E135" s="64"/>
      <c r="F135" s="7">
        <v>137</v>
      </c>
      <c r="H135" s="28">
        <f t="shared" si="35"/>
        <v>0</v>
      </c>
      <c r="I135" s="28">
        <f t="shared" si="36"/>
        <v>0</v>
      </c>
      <c r="J135" s="31">
        <f t="shared" si="33"/>
        <v>0</v>
      </c>
      <c r="K135" s="71">
        <f t="shared" si="34"/>
        <v>0</v>
      </c>
      <c r="L135" s="31"/>
      <c r="R135" s="68"/>
      <c r="S135" s="70"/>
    </row>
    <row r="136" spans="1:19" x14ac:dyDescent="0.2">
      <c r="A136" s="7">
        <v>134</v>
      </c>
      <c r="B136" s="7">
        <f t="shared" si="37"/>
        <v>229.14</v>
      </c>
      <c r="C136" s="54" t="e">
        <f t="shared" si="38"/>
        <v>#N/A</v>
      </c>
      <c r="D136" s="54" t="e">
        <f t="shared" si="39"/>
        <v>#N/A</v>
      </c>
      <c r="E136" s="64"/>
      <c r="F136" s="7">
        <v>138</v>
      </c>
      <c r="H136" s="28">
        <f t="shared" si="35"/>
        <v>0</v>
      </c>
      <c r="I136" s="28">
        <f t="shared" si="36"/>
        <v>0</v>
      </c>
      <c r="J136" s="31">
        <f t="shared" si="33"/>
        <v>0</v>
      </c>
      <c r="K136" s="71">
        <f t="shared" si="34"/>
        <v>0</v>
      </c>
      <c r="L136" s="31"/>
      <c r="R136" s="68"/>
      <c r="S136" s="70"/>
    </row>
    <row r="137" spans="1:19" x14ac:dyDescent="0.2">
      <c r="A137" s="7">
        <v>135</v>
      </c>
      <c r="B137" s="7">
        <f t="shared" si="37"/>
        <v>230.85</v>
      </c>
      <c r="C137" s="54" t="e">
        <f t="shared" si="38"/>
        <v>#N/A</v>
      </c>
      <c r="D137" s="54" t="e">
        <f t="shared" si="39"/>
        <v>#N/A</v>
      </c>
      <c r="E137" s="64"/>
      <c r="F137" s="7">
        <v>139</v>
      </c>
      <c r="H137" s="28">
        <f t="shared" si="35"/>
        <v>0</v>
      </c>
      <c r="I137" s="28">
        <f t="shared" si="36"/>
        <v>0</v>
      </c>
      <c r="J137" s="31">
        <f t="shared" si="33"/>
        <v>0</v>
      </c>
      <c r="K137" s="71">
        <f t="shared" si="34"/>
        <v>0</v>
      </c>
      <c r="L137" s="31"/>
      <c r="R137" s="68"/>
      <c r="S137" s="70"/>
    </row>
    <row r="138" spans="1:19" x14ac:dyDescent="0.2">
      <c r="A138" s="7">
        <v>136</v>
      </c>
      <c r="B138" s="7">
        <f t="shared" si="37"/>
        <v>232.56</v>
      </c>
      <c r="C138" s="54" t="e">
        <f t="shared" si="38"/>
        <v>#N/A</v>
      </c>
      <c r="D138" s="54" t="e">
        <f t="shared" si="39"/>
        <v>#N/A</v>
      </c>
      <c r="E138" s="64"/>
      <c r="F138" s="7">
        <v>140</v>
      </c>
      <c r="H138" s="28">
        <f t="shared" si="35"/>
        <v>0</v>
      </c>
      <c r="I138" s="28">
        <f t="shared" si="36"/>
        <v>0</v>
      </c>
      <c r="J138" s="31">
        <f t="shared" si="33"/>
        <v>0</v>
      </c>
      <c r="K138" s="71">
        <f t="shared" si="34"/>
        <v>0</v>
      </c>
      <c r="L138" s="31"/>
      <c r="R138" s="68"/>
      <c r="S138" s="70"/>
    </row>
    <row r="139" spans="1:19" x14ac:dyDescent="0.2">
      <c r="A139" s="7">
        <v>137</v>
      </c>
      <c r="B139" s="7">
        <f t="shared" si="37"/>
        <v>234.26999999999998</v>
      </c>
      <c r="C139" s="54" t="e">
        <f t="shared" si="38"/>
        <v>#N/A</v>
      </c>
      <c r="D139" s="54" t="e">
        <f t="shared" si="39"/>
        <v>#N/A</v>
      </c>
      <c r="E139" s="64"/>
      <c r="F139" s="7">
        <v>141</v>
      </c>
      <c r="H139" s="28">
        <f t="shared" si="35"/>
        <v>0</v>
      </c>
      <c r="I139" s="28">
        <f t="shared" si="36"/>
        <v>0</v>
      </c>
      <c r="J139" s="31">
        <f t="shared" si="33"/>
        <v>0</v>
      </c>
      <c r="K139" s="71">
        <f t="shared" si="34"/>
        <v>0</v>
      </c>
      <c r="L139" s="31"/>
      <c r="R139" s="68"/>
      <c r="S139" s="70"/>
    </row>
    <row r="140" spans="1:19" x14ac:dyDescent="0.2">
      <c r="A140" s="7">
        <v>138</v>
      </c>
      <c r="B140" s="7">
        <f t="shared" si="37"/>
        <v>235.98</v>
      </c>
      <c r="C140" s="54" t="e">
        <f t="shared" si="38"/>
        <v>#N/A</v>
      </c>
      <c r="D140" s="54" t="e">
        <f t="shared" si="39"/>
        <v>#N/A</v>
      </c>
      <c r="E140" s="64"/>
      <c r="F140" s="7">
        <v>142</v>
      </c>
      <c r="H140" s="28">
        <f t="shared" si="35"/>
        <v>0</v>
      </c>
      <c r="I140" s="28">
        <f t="shared" si="36"/>
        <v>0</v>
      </c>
      <c r="J140" s="31">
        <f t="shared" si="33"/>
        <v>0</v>
      </c>
      <c r="K140" s="71">
        <f t="shared" si="34"/>
        <v>0</v>
      </c>
      <c r="L140" s="31"/>
      <c r="R140" s="68"/>
      <c r="S140" s="70"/>
    </row>
    <row r="141" spans="1:19" x14ac:dyDescent="0.2">
      <c r="A141" s="7">
        <v>139</v>
      </c>
      <c r="B141" s="7">
        <f t="shared" si="37"/>
        <v>237.69</v>
      </c>
      <c r="C141" s="54" t="e">
        <f t="shared" si="38"/>
        <v>#N/A</v>
      </c>
      <c r="D141" s="54" t="e">
        <f t="shared" si="39"/>
        <v>#N/A</v>
      </c>
      <c r="E141" s="64"/>
      <c r="F141" s="7">
        <v>143</v>
      </c>
      <c r="H141" s="28">
        <f t="shared" si="35"/>
        <v>0</v>
      </c>
      <c r="I141" s="28">
        <f t="shared" si="36"/>
        <v>0</v>
      </c>
      <c r="J141" s="31">
        <f t="shared" si="33"/>
        <v>0</v>
      </c>
      <c r="K141" s="71">
        <f t="shared" si="34"/>
        <v>0</v>
      </c>
      <c r="L141" s="31"/>
      <c r="R141" s="68"/>
      <c r="S141" s="70"/>
    </row>
    <row r="142" spans="1:19" x14ac:dyDescent="0.2">
      <c r="A142" s="7">
        <v>140</v>
      </c>
      <c r="B142" s="7">
        <f t="shared" si="37"/>
        <v>239.4</v>
      </c>
      <c r="C142" s="54" t="e">
        <f t="shared" si="38"/>
        <v>#N/A</v>
      </c>
      <c r="D142" s="54" t="e">
        <f t="shared" si="39"/>
        <v>#N/A</v>
      </c>
      <c r="E142" s="64"/>
      <c r="F142" s="7">
        <v>144</v>
      </c>
      <c r="H142" s="28">
        <f t="shared" si="35"/>
        <v>0</v>
      </c>
      <c r="I142" s="28">
        <f t="shared" si="36"/>
        <v>0</v>
      </c>
      <c r="J142" s="31">
        <f t="shared" si="33"/>
        <v>0</v>
      </c>
      <c r="K142" s="71">
        <f t="shared" si="34"/>
        <v>0</v>
      </c>
      <c r="L142" s="31"/>
      <c r="R142" s="68"/>
      <c r="S142" s="70"/>
    </row>
    <row r="143" spans="1:19" x14ac:dyDescent="0.2">
      <c r="A143" s="7">
        <v>141</v>
      </c>
      <c r="B143" s="7">
        <f t="shared" si="37"/>
        <v>241.10999999999999</v>
      </c>
      <c r="C143" s="54" t="e">
        <f t="shared" si="38"/>
        <v>#N/A</v>
      </c>
      <c r="D143" s="54" t="e">
        <f t="shared" si="39"/>
        <v>#N/A</v>
      </c>
      <c r="E143" s="64"/>
      <c r="F143" s="7">
        <v>145</v>
      </c>
      <c r="H143" s="28">
        <f t="shared" si="35"/>
        <v>0</v>
      </c>
      <c r="I143" s="28">
        <f t="shared" si="36"/>
        <v>0</v>
      </c>
      <c r="J143" s="31">
        <f t="shared" si="33"/>
        <v>0</v>
      </c>
      <c r="K143" s="71">
        <f t="shared" si="34"/>
        <v>0</v>
      </c>
      <c r="L143" s="31"/>
      <c r="R143" s="68"/>
      <c r="S143" s="70"/>
    </row>
    <row r="144" spans="1:19" x14ac:dyDescent="0.2">
      <c r="A144" s="7">
        <v>142</v>
      </c>
      <c r="B144" s="7">
        <f t="shared" si="37"/>
        <v>242.82</v>
      </c>
      <c r="C144" s="54" t="e">
        <f t="shared" si="38"/>
        <v>#N/A</v>
      </c>
      <c r="D144" s="54" t="e">
        <f t="shared" si="39"/>
        <v>#N/A</v>
      </c>
      <c r="E144" s="64"/>
      <c r="F144" s="7">
        <v>146</v>
      </c>
      <c r="H144" s="28">
        <f t="shared" si="35"/>
        <v>0</v>
      </c>
      <c r="I144" s="28">
        <f t="shared" si="36"/>
        <v>0</v>
      </c>
      <c r="J144" s="31">
        <f t="shared" si="33"/>
        <v>0</v>
      </c>
      <c r="K144" s="71">
        <f t="shared" si="34"/>
        <v>0</v>
      </c>
      <c r="L144" s="31"/>
      <c r="R144" s="68"/>
      <c r="S144" s="70"/>
    </row>
    <row r="145" spans="1:19" x14ac:dyDescent="0.2">
      <c r="A145" s="7">
        <v>143</v>
      </c>
      <c r="B145" s="7">
        <f t="shared" si="37"/>
        <v>244.53</v>
      </c>
      <c r="C145" s="54" t="e">
        <f t="shared" si="38"/>
        <v>#N/A</v>
      </c>
      <c r="D145" s="54" t="e">
        <f t="shared" si="39"/>
        <v>#N/A</v>
      </c>
      <c r="E145" s="64"/>
      <c r="F145" s="7">
        <v>147</v>
      </c>
      <c r="H145" s="28">
        <f t="shared" si="35"/>
        <v>0</v>
      </c>
      <c r="I145" s="28">
        <f t="shared" si="36"/>
        <v>0</v>
      </c>
      <c r="J145" s="31">
        <f t="shared" si="33"/>
        <v>0</v>
      </c>
      <c r="K145" s="71">
        <f t="shared" si="34"/>
        <v>0</v>
      </c>
      <c r="L145" s="31"/>
      <c r="R145" s="68"/>
      <c r="S145" s="70"/>
    </row>
    <row r="146" spans="1:19" x14ac:dyDescent="0.2">
      <c r="A146" s="7">
        <v>144</v>
      </c>
      <c r="B146" s="7">
        <f t="shared" si="37"/>
        <v>246.24</v>
      </c>
      <c r="C146" s="54" t="e">
        <f t="shared" si="38"/>
        <v>#N/A</v>
      </c>
      <c r="D146" s="54" t="e">
        <f t="shared" si="39"/>
        <v>#N/A</v>
      </c>
      <c r="E146" s="64"/>
      <c r="F146" s="7">
        <v>148</v>
      </c>
      <c r="H146" s="28">
        <f t="shared" si="35"/>
        <v>0</v>
      </c>
      <c r="I146" s="28">
        <f t="shared" si="36"/>
        <v>0</v>
      </c>
      <c r="J146" s="31">
        <f t="shared" si="33"/>
        <v>0</v>
      </c>
      <c r="K146" s="71">
        <f t="shared" si="34"/>
        <v>0</v>
      </c>
      <c r="L146" s="31"/>
      <c r="R146" s="68"/>
      <c r="S146" s="70"/>
    </row>
    <row r="147" spans="1:19" x14ac:dyDescent="0.2">
      <c r="A147" s="7">
        <v>145</v>
      </c>
      <c r="B147" s="7">
        <f t="shared" si="37"/>
        <v>247.95</v>
      </c>
      <c r="C147" s="54" t="e">
        <f t="shared" si="38"/>
        <v>#N/A</v>
      </c>
      <c r="D147" s="54" t="e">
        <f t="shared" si="39"/>
        <v>#N/A</v>
      </c>
      <c r="E147" s="64"/>
      <c r="F147" s="7">
        <v>149</v>
      </c>
      <c r="H147" s="28">
        <f t="shared" si="35"/>
        <v>0</v>
      </c>
      <c r="I147" s="28">
        <f t="shared" si="36"/>
        <v>0</v>
      </c>
      <c r="J147" s="31">
        <f t="shared" si="33"/>
        <v>0</v>
      </c>
      <c r="K147" s="71">
        <f t="shared" si="34"/>
        <v>0</v>
      </c>
      <c r="L147" s="31"/>
      <c r="R147" s="68"/>
      <c r="S147" s="70"/>
    </row>
    <row r="148" spans="1:19" x14ac:dyDescent="0.2">
      <c r="A148" s="7">
        <v>146</v>
      </c>
      <c r="B148" s="7">
        <f t="shared" si="37"/>
        <v>249.66</v>
      </c>
      <c r="C148" s="54" t="e">
        <f t="shared" si="38"/>
        <v>#N/A</v>
      </c>
      <c r="D148" s="54" t="e">
        <f t="shared" si="39"/>
        <v>#N/A</v>
      </c>
      <c r="E148" s="64"/>
      <c r="F148" s="7">
        <v>150</v>
      </c>
      <c r="H148" s="28">
        <f t="shared" si="35"/>
        <v>0</v>
      </c>
      <c r="I148" s="28">
        <f t="shared" si="36"/>
        <v>0</v>
      </c>
      <c r="J148" s="31">
        <f t="shared" si="33"/>
        <v>0</v>
      </c>
      <c r="K148" s="71">
        <f t="shared" si="34"/>
        <v>0</v>
      </c>
      <c r="L148" s="31"/>
      <c r="R148" s="68"/>
      <c r="S148" s="70"/>
    </row>
    <row r="149" spans="1:19" x14ac:dyDescent="0.2">
      <c r="A149" s="7">
        <v>147</v>
      </c>
      <c r="B149" s="7">
        <f t="shared" si="37"/>
        <v>251.37</v>
      </c>
      <c r="C149" s="54" t="e">
        <f t="shared" si="38"/>
        <v>#N/A</v>
      </c>
      <c r="D149" s="54" t="e">
        <f t="shared" si="39"/>
        <v>#N/A</v>
      </c>
      <c r="E149" s="64"/>
      <c r="F149" s="7">
        <v>151</v>
      </c>
      <c r="H149" s="28">
        <f t="shared" si="35"/>
        <v>0</v>
      </c>
      <c r="I149" s="28">
        <f t="shared" si="36"/>
        <v>0</v>
      </c>
      <c r="J149" s="31">
        <f t="shared" si="33"/>
        <v>0</v>
      </c>
      <c r="K149" s="71">
        <f t="shared" si="34"/>
        <v>0</v>
      </c>
      <c r="L149" s="31"/>
      <c r="R149" s="68"/>
      <c r="S149" s="70"/>
    </row>
    <row r="150" spans="1:19" x14ac:dyDescent="0.2">
      <c r="A150" s="7">
        <v>148</v>
      </c>
      <c r="B150" s="7">
        <f t="shared" si="37"/>
        <v>253.07999999999998</v>
      </c>
      <c r="C150" s="54" t="e">
        <f t="shared" si="38"/>
        <v>#N/A</v>
      </c>
      <c r="D150" s="54" t="e">
        <f t="shared" si="39"/>
        <v>#N/A</v>
      </c>
      <c r="E150" s="64"/>
      <c r="F150" s="7">
        <v>152</v>
      </c>
      <c r="H150" s="28">
        <f t="shared" si="35"/>
        <v>0</v>
      </c>
      <c r="I150" s="28">
        <f t="shared" si="36"/>
        <v>0</v>
      </c>
      <c r="J150" s="31">
        <f t="shared" si="33"/>
        <v>0</v>
      </c>
      <c r="K150" s="71">
        <f t="shared" si="34"/>
        <v>0</v>
      </c>
      <c r="L150" s="31"/>
      <c r="R150" s="68"/>
      <c r="S150" s="70"/>
    </row>
    <row r="151" spans="1:19" x14ac:dyDescent="0.2">
      <c r="A151" s="7">
        <v>149</v>
      </c>
      <c r="B151" s="7">
        <f t="shared" si="37"/>
        <v>254.79</v>
      </c>
      <c r="C151" s="54" t="e">
        <f t="shared" si="38"/>
        <v>#N/A</v>
      </c>
      <c r="D151" s="54" t="e">
        <f t="shared" si="39"/>
        <v>#N/A</v>
      </c>
      <c r="E151" s="64"/>
      <c r="F151" s="7">
        <v>153</v>
      </c>
      <c r="H151" s="28">
        <f t="shared" si="35"/>
        <v>0</v>
      </c>
      <c r="I151" s="28">
        <f t="shared" si="36"/>
        <v>0</v>
      </c>
      <c r="J151" s="31">
        <f t="shared" si="33"/>
        <v>0</v>
      </c>
      <c r="K151" s="71">
        <f t="shared" si="34"/>
        <v>0</v>
      </c>
      <c r="L151" s="31"/>
      <c r="R151" s="68"/>
      <c r="S151" s="70"/>
    </row>
    <row r="152" spans="1:19" x14ac:dyDescent="0.2">
      <c r="A152" s="7">
        <v>150</v>
      </c>
      <c r="B152" s="7">
        <f t="shared" si="37"/>
        <v>256.5</v>
      </c>
      <c r="C152" s="54" t="e">
        <f t="shared" si="38"/>
        <v>#N/A</v>
      </c>
      <c r="D152" s="54" t="e">
        <f t="shared" si="39"/>
        <v>#N/A</v>
      </c>
      <c r="E152" s="64"/>
      <c r="F152" s="7">
        <v>154</v>
      </c>
      <c r="H152" s="28">
        <f t="shared" si="35"/>
        <v>0</v>
      </c>
      <c r="I152" s="28">
        <f t="shared" si="36"/>
        <v>0</v>
      </c>
      <c r="J152" s="31">
        <f t="shared" si="33"/>
        <v>0</v>
      </c>
      <c r="K152" s="71">
        <f t="shared" si="34"/>
        <v>0</v>
      </c>
      <c r="L152" s="31"/>
      <c r="R152" s="68"/>
      <c r="S152" s="70"/>
    </row>
    <row r="153" spans="1:19" x14ac:dyDescent="0.2">
      <c r="D153" s="54" t="e">
        <f t="shared" si="39"/>
        <v>#N/A</v>
      </c>
      <c r="E153" s="64"/>
      <c r="F153" s="7">
        <v>155</v>
      </c>
      <c r="H153" s="28">
        <f t="shared" si="35"/>
        <v>0</v>
      </c>
      <c r="I153" s="28">
        <f t="shared" si="36"/>
        <v>0</v>
      </c>
    </row>
  </sheetData>
  <sheetProtection algorithmName="SHA-512" hashValue="KTt7weX4GGQsepHyFBxwJk1hk1b0rpnJJLiCM06wIss6phjoOyhi1JZeNJ5yJudYzMvj5ZLP4r+JiBmIV8qCJA==" saltValue="Cf+bJWbyt+6hfDvH67Y9Mw==" spinCount="100000" sheet="1" objects="1" scenarios="1" selectLockedCells="1"/>
  <mergeCells count="3">
    <mergeCell ref="F1:K1"/>
    <mergeCell ref="N1:S1"/>
    <mergeCell ref="U2:Z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Fulls de càlcul</vt:lpstr>
      </vt:variant>
      <vt:variant>
        <vt:i4>5</vt:i4>
      </vt:variant>
      <vt:variant>
        <vt:lpstr>Intervals amb nom</vt:lpstr>
      </vt:variant>
      <vt:variant>
        <vt:i4>4</vt:i4>
      </vt:variant>
    </vt:vector>
  </HeadingPairs>
  <TitlesOfParts>
    <vt:vector size="9" baseType="lpstr">
      <vt:lpstr>Portada</vt:lpstr>
      <vt:lpstr>Comanda</vt:lpstr>
      <vt:lpstr>Pedido</vt:lpstr>
      <vt:lpstr>Pressupost</vt:lpstr>
      <vt:lpstr>Ports</vt:lpstr>
      <vt:lpstr>Comanda!Àrea_d'impressió</vt:lpstr>
      <vt:lpstr>Pedido!Àrea_d'impressió</vt:lpstr>
      <vt:lpstr>Portada!Àrea_d'impressió</vt:lpstr>
      <vt:lpstr>Pressupost!Àrea_d'impressió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dc:creator>
  <cp:lastModifiedBy>Jordi Pelejà Anguera</cp:lastModifiedBy>
  <cp:lastPrinted>2024-11-08T14:56:54Z</cp:lastPrinted>
  <dcterms:created xsi:type="dcterms:W3CDTF">2022-11-13T12:18:50Z</dcterms:created>
  <dcterms:modified xsi:type="dcterms:W3CDTF">2024-11-27T08:10:42Z</dcterms:modified>
</cp:coreProperties>
</file>